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3\07\"/>
    </mc:Choice>
  </mc:AlternateContent>
  <xr:revisionPtr revIDLastSave="0" documentId="13_ncr:1_{CBC80BAC-EC4F-43AB-BFBF-99FD52EC49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 iterate="1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4" l="1"/>
  <c r="AD19" i="4"/>
  <c r="AD18" i="4"/>
  <c r="AD16" i="4"/>
  <c r="AD12" i="4"/>
  <c r="AD11" i="4"/>
  <c r="AD10" i="4"/>
  <c r="AD53" i="4"/>
  <c r="AD41" i="4"/>
  <c r="AD40" i="4"/>
  <c r="AD26" i="4"/>
  <c r="AD52" i="4"/>
  <c r="AD39" i="4"/>
  <c r="AD32" i="4"/>
  <c r="AD36" i="4"/>
  <c r="AD25" i="4"/>
  <c r="AD48" i="4"/>
  <c r="AB28" i="4"/>
  <c r="AB26" i="4"/>
  <c r="AC56" i="4"/>
  <c r="AC54" i="4" s="1"/>
  <c r="AC53" i="4"/>
  <c r="AC52" i="4"/>
  <c r="AC51" i="4"/>
  <c r="AC50" i="4" s="1"/>
  <c r="AC49" i="4"/>
  <c r="AC48" i="4"/>
  <c r="AC45" i="4"/>
  <c r="AC41" i="4"/>
  <c r="AC40" i="4"/>
  <c r="AC39" i="4"/>
  <c r="AC38" i="4"/>
  <c r="AC37" i="4" s="1"/>
  <c r="AC36" i="4"/>
  <c r="AC33" i="4"/>
  <c r="AC32" i="4"/>
  <c r="AC31" i="4" s="1"/>
  <c r="AC29" i="4"/>
  <c r="AC28" i="4"/>
  <c r="AC27" i="4"/>
  <c r="AC26" i="4"/>
  <c r="AC25" i="4"/>
  <c r="AC24" i="4"/>
  <c r="AC20" i="4"/>
  <c r="AC19" i="4"/>
  <c r="AC18" i="4"/>
  <c r="AC17" i="4" s="1"/>
  <c r="AC16" i="4"/>
  <c r="AC15" i="4"/>
  <c r="AC12" i="4"/>
  <c r="AC11" i="4"/>
  <c r="AC10" i="4"/>
  <c r="V28" i="4"/>
  <c r="V26" i="4"/>
  <c r="V18" i="4"/>
  <c r="AC23" i="4" l="1"/>
  <c r="AC22" i="4" s="1"/>
  <c r="AC9" i="4"/>
  <c r="AF15" i="4"/>
  <c r="AF10" i="4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C7" i="4" l="1"/>
  <c r="AC8" i="4" s="1"/>
  <c r="AD5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V54" i="4"/>
  <c r="Y18" i="4"/>
  <c r="Y20" i="4"/>
  <c r="Y19" i="4"/>
  <c r="Y16" i="4"/>
  <c r="Y15" i="4"/>
  <c r="Y14" i="4"/>
  <c r="Y13" i="4"/>
  <c r="Y12" i="4"/>
  <c r="Y11" i="4"/>
  <c r="AA28" i="4" l="1"/>
  <c r="AA26" i="4"/>
  <c r="U10" i="4" l="1"/>
  <c r="T50" i="4"/>
  <c r="S50" i="4"/>
  <c r="T17" i="4"/>
  <c r="T9" i="4" s="1"/>
  <c r="T24" i="4"/>
  <c r="T27" i="4"/>
  <c r="T23" i="4" s="1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S22" i="4" l="1"/>
  <c r="T22" i="4"/>
  <c r="T7" i="4" s="1"/>
  <c r="T8" i="4" s="1"/>
  <c r="S7" i="4"/>
  <c r="S8" i="4" s="1"/>
  <c r="AG52" i="4" l="1"/>
  <c r="AG53" i="4"/>
  <c r="AF52" i="4"/>
  <c r="AF35" i="4"/>
  <c r="AQ35" i="4" s="1"/>
  <c r="AF33" i="4"/>
  <c r="Y52" i="4"/>
  <c r="Y53" i="4"/>
  <c r="Y51" i="4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3" i="4" l="1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AO55" i="4" s="1"/>
  <c r="Y55" i="4"/>
  <c r="U55" i="4"/>
  <c r="R55" i="4"/>
  <c r="P55" i="4"/>
  <c r="M55" i="4"/>
  <c r="K55" i="4"/>
  <c r="AM54" i="4"/>
  <c r="AB54" i="4"/>
  <c r="AA54" i="4"/>
  <c r="Z54" i="4"/>
  <c r="X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AF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R18" i="4"/>
  <c r="R17" i="4" s="1"/>
  <c r="P18" i="4"/>
  <c r="M18" i="4"/>
  <c r="K18" i="4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U17" i="4" l="1"/>
  <c r="K17" i="4"/>
  <c r="AQ59" i="4"/>
  <c r="AN11" i="4"/>
  <c r="AQ11" i="4"/>
  <c r="AN56" i="4"/>
  <c r="AO56" i="4"/>
  <c r="AK56" i="4"/>
  <c r="AQ62" i="4"/>
  <c r="Y54" i="4"/>
  <c r="AQ43" i="4"/>
  <c r="AN19" i="4"/>
  <c r="AH61" i="4"/>
  <c r="AL57" i="4"/>
  <c r="AO57" i="4"/>
  <c r="AN58" i="4"/>
  <c r="AO58" i="4"/>
  <c r="AO14" i="4"/>
  <c r="AQ14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U54" i="4"/>
  <c r="AN42" i="4"/>
  <c r="AL13" i="4"/>
  <c r="AN46" i="4"/>
  <c r="AP21" i="4"/>
  <c r="Y45" i="4"/>
  <c r="Y17" i="4"/>
  <c r="Y9" i="4" s="1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K14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Q51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Q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Q45" i="4" s="1"/>
  <c r="AJ48" i="4"/>
  <c r="AT51" i="4"/>
  <c r="AT50" i="4" s="1"/>
  <c r="J63" i="4"/>
  <c r="AF54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P1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S24" i="4" l="1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Y7" i="4" s="1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AA63" i="4" l="1"/>
  <c r="P8" i="4"/>
  <c r="V3" i="4"/>
  <c r="W8" i="4"/>
  <c r="V65" i="4"/>
  <c r="AG7" i="4"/>
  <c r="Y8" i="4"/>
  <c r="Y63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Z3" i="4" l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Q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 l="1"/>
</calcChain>
</file>

<file path=xl/sharedStrings.xml><?xml version="1.0" encoding="utf-8"?>
<sst xmlns="http://schemas.openxmlformats.org/spreadsheetml/2006/main" count="133" uniqueCount="109">
  <si>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</si>
  <si>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</si>
  <si>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</si>
  <si>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</si>
  <si>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</si>
  <si>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</si>
  <si>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</si>
  <si>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</si>
  <si>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</si>
  <si>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</si>
  <si>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</si>
  <si>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</si>
  <si>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</si>
  <si>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</si>
  <si>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</si>
  <si>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</si>
  <si>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</si>
  <si>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</si>
  <si>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</si>
  <si>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</si>
  <si>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</si>
  <si>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</si>
  <si>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</si>
  <si>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</si>
  <si>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</si>
  <si>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</si>
  <si>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</si>
  <si>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</si>
  <si>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</si>
  <si>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</si>
  <si>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</si>
  <si>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</si>
  <si>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</si>
  <si>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</si>
  <si>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</si>
  <si>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</si>
  <si>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</si>
  <si>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</si>
  <si>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</si>
  <si>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</si>
  <si>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</si>
  <si>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</si>
  <si>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</si>
  <si>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</si>
  <si>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</si>
  <si>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</si>
  <si>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</si>
  <si>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</si>
  <si>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</si>
  <si>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</si>
  <si>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</si>
  <si>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</si>
  <si>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</si>
  <si>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</si>
  <si>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</si>
  <si>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</si>
  <si>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</si>
  <si>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</si>
  <si>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</si>
  <si>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</si>
  <si>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</si>
  <si>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</si>
  <si>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</si>
  <si>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</si>
  <si>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</si>
  <si>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</si>
  <si>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</si>
  <si>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</si>
  <si>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</si>
  <si>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</si>
  <si>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</si>
  <si>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</si>
  <si>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</si>
  <si>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</si>
  <si>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</si>
  <si>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</si>
  <si>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</si>
  <si>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</si>
  <si>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</si>
  <si>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</si>
  <si>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</si>
  <si>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</si>
  <si>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</si>
  <si>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</si>
  <si>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</si>
  <si>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</si>
  <si>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</si>
  <si>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</si>
  <si>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</si>
  <si>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</si>
  <si>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</si>
  <si>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</si>
  <si>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</si>
  <si>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</si>
  <si>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</si>
  <si>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</si>
  <si>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</si>
  <si>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</si>
  <si>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</si>
  <si>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Исполнено с 01.01.2023 по 07.03.2023 год</t>
  </si>
  <si>
    <r>
      <t>Исполнено с 01.01.2023 года по 07.03.2023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</si>
  <si>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на 3 месяца 2024 года</t>
  </si>
  <si>
    <t>с 26.02.2024 по 29.02.2024 (неделя) П</t>
  </si>
  <si>
    <t>с 01.03.2024 по 07.03.2024 (неделя) Т</t>
  </si>
  <si>
    <t>Исполнение с 01.01.2024 по 29.02.2024
(53,08%)</t>
  </si>
  <si>
    <r>
      <t xml:space="preserve">Исполнение с 01.01.2024 по 07.03.2024
</t>
    </r>
    <r>
      <rPr>
        <b/>
        <sz val="14"/>
        <rFont val="Times New Roman"/>
        <family val="1"/>
        <charset val="204"/>
      </rPr>
      <t>(53,08%)</t>
    </r>
  </si>
  <si>
    <t>откл.+- от плана за 3 месяца 2024 года</t>
  </si>
  <si>
    <t>откл.+- от исполнения на 07.03.2023 г  (в сопоставимых условиях 2024 года)</t>
  </si>
  <si>
    <t>Исполнение бюджета Благодарненского муниципального округа Ставропольского края по доходам по состоянию на 07.03.2024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</si>
</sst>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3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3" fillId="13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U60" sqref="AU60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3.140625" style="1" hidden="1" customWidth="1"/>
    <col min="23" max="23" width="22.7109375" style="1" hidden="1" customWidth="1"/>
    <col min="24" max="24" width="23.57031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4.85546875" style="1" hidden="1" customWidth="1"/>
    <col min="32" max="32" width="24.57031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18" t="s">
        <v>108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9.2372609583820058</v>
      </c>
      <c r="U3" s="104"/>
      <c r="V3" s="106">
        <f>V8/S8%</f>
        <v>9.8488559607946566</v>
      </c>
      <c r="W3" s="106"/>
      <c r="X3" s="105"/>
      <c r="Y3" s="80"/>
      <c r="Z3" s="80">
        <f>U3-Y63</f>
        <v>-432373400.84423357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19" t="s">
        <v>34</v>
      </c>
      <c r="J4" s="120" t="s">
        <v>45</v>
      </c>
      <c r="K4" s="120" t="s">
        <v>51</v>
      </c>
      <c r="L4" s="121" t="s">
        <v>56</v>
      </c>
      <c r="M4" s="120" t="s">
        <v>54</v>
      </c>
      <c r="N4" s="120" t="s">
        <v>53</v>
      </c>
      <c r="O4" s="121" t="s">
        <v>50</v>
      </c>
      <c r="P4" s="120" t="s">
        <v>63</v>
      </c>
      <c r="Q4" s="121" t="s">
        <v>65</v>
      </c>
      <c r="R4" s="120" t="s">
        <v>64</v>
      </c>
      <c r="S4" s="127" t="s">
        <v>83</v>
      </c>
      <c r="T4" s="121" t="s">
        <v>82</v>
      </c>
      <c r="U4" s="120" t="s">
        <v>84</v>
      </c>
      <c r="V4" s="121" t="s">
        <v>99</v>
      </c>
      <c r="W4" s="122" t="s">
        <v>76</v>
      </c>
      <c r="X4" s="137" t="s">
        <v>81</v>
      </c>
      <c r="Y4" s="120" t="s">
        <v>100</v>
      </c>
      <c r="Z4" s="129" t="s">
        <v>66</v>
      </c>
      <c r="AA4" s="131" t="s">
        <v>97</v>
      </c>
      <c r="AB4" s="132"/>
      <c r="AC4" s="128" t="s">
        <v>57</v>
      </c>
      <c r="AD4" s="128"/>
      <c r="AE4" s="133" t="s">
        <v>104</v>
      </c>
      <c r="AF4" s="120" t="s">
        <v>105</v>
      </c>
      <c r="AG4" s="125" t="s">
        <v>43</v>
      </c>
      <c r="AH4" s="127" t="s">
        <v>67</v>
      </c>
      <c r="AI4" s="127"/>
      <c r="AJ4" s="128" t="s">
        <v>96</v>
      </c>
      <c r="AK4" s="128"/>
      <c r="AL4" s="128" t="s">
        <v>52</v>
      </c>
      <c r="AM4" s="128"/>
      <c r="AN4" s="128" t="s">
        <v>106</v>
      </c>
      <c r="AO4" s="128"/>
      <c r="AP4" s="128" t="s">
        <v>107</v>
      </c>
      <c r="AQ4" s="128"/>
      <c r="AR4" s="128" t="s">
        <v>55</v>
      </c>
      <c r="AS4" s="128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19"/>
      <c r="J5" s="120"/>
      <c r="K5" s="120"/>
      <c r="L5" s="121"/>
      <c r="M5" s="120"/>
      <c r="N5" s="120"/>
      <c r="O5" s="121"/>
      <c r="P5" s="120"/>
      <c r="Q5" s="121"/>
      <c r="R5" s="120"/>
      <c r="S5" s="127"/>
      <c r="T5" s="121"/>
      <c r="U5" s="120"/>
      <c r="V5" s="121"/>
      <c r="W5" s="123"/>
      <c r="X5" s="137"/>
      <c r="Y5" s="120"/>
      <c r="Z5" s="130"/>
      <c r="AA5" s="41" t="s">
        <v>68</v>
      </c>
      <c r="AB5" s="107" t="s">
        <v>101</v>
      </c>
      <c r="AC5" s="79" t="s">
        <v>102</v>
      </c>
      <c r="AD5" s="79" t="s">
        <v>103</v>
      </c>
      <c r="AE5" s="134"/>
      <c r="AF5" s="120"/>
      <c r="AG5" s="126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5" t="s">
        <v>8</v>
      </c>
      <c r="C7" s="135"/>
      <c r="D7" s="135"/>
      <c r="E7" s="135"/>
      <c r="F7" s="135"/>
      <c r="G7" s="135"/>
      <c r="H7" s="135"/>
      <c r="I7" s="135"/>
      <c r="J7" s="44">
        <f t="shared" ref="J7:P7" si="0">J10+J11+J13+J14+J15+J16+J17+J20+J23+J36+J37+J45+J48+J50+J12</f>
        <v>360649780.94999993</v>
      </c>
      <c r="K7" s="44">
        <f t="shared" si="0"/>
        <v>345047273.09513432</v>
      </c>
      <c r="L7" s="44">
        <f t="shared" si="0"/>
        <v>126453042.85999998</v>
      </c>
      <c r="M7" s="44">
        <f t="shared" si="0"/>
        <v>119997741.01554319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45708491.609999999</v>
      </c>
      <c r="W7" s="44">
        <f>V7/S7%</f>
        <v>11.152861573639051</v>
      </c>
      <c r="X7" s="44">
        <f>X9+X22</f>
        <v>0</v>
      </c>
      <c r="Y7" s="44">
        <f>Y9+Y22</f>
        <v>59801556.954233654</v>
      </c>
      <c r="Z7" s="44">
        <f t="shared" ref="Z7:AF7" si="2">Z9+Z22</f>
        <v>400415099.64999998</v>
      </c>
      <c r="AA7" s="44">
        <f t="shared" si="2"/>
        <v>577574635.84000003</v>
      </c>
      <c r="AB7" s="44">
        <f t="shared" si="2"/>
        <v>126380052.81</v>
      </c>
      <c r="AC7" s="44">
        <f t="shared" ref="AC7:AD7" si="3">AC9+AC22</f>
        <v>35427874.049999997</v>
      </c>
      <c r="AD7" s="44">
        <f t="shared" si="3"/>
        <v>6068349.9700000007</v>
      </c>
      <c r="AE7" s="44">
        <v>75422971.209999993</v>
      </c>
      <c r="AF7" s="44">
        <f t="shared" si="2"/>
        <v>81491321.179999992</v>
      </c>
      <c r="AG7" s="44">
        <f>AD7-AC7</f>
        <v>-29359524.079999998</v>
      </c>
      <c r="AH7" s="44">
        <f t="shared" ref="AH7:AH63" si="4">AF7-Z7</f>
        <v>-318923778.46999997</v>
      </c>
      <c r="AI7" s="44">
        <f t="shared" ref="AI7:AI28" si="5">AF7/Z7*100</f>
        <v>20.351710325417542</v>
      </c>
      <c r="AJ7" s="44">
        <f>AF7-AA7</f>
        <v>-496083314.66000003</v>
      </c>
      <c r="AK7" s="44">
        <f>AF7/AA7%</f>
        <v>14.109227816329309</v>
      </c>
      <c r="AL7" s="44" t="e">
        <f>AF7-#REF!</f>
        <v>#REF!</v>
      </c>
      <c r="AM7" s="44" t="e">
        <f>IF(#REF!=0,0,AF7/#REF!*100)</f>
        <v>#REF!</v>
      </c>
      <c r="AN7" s="44">
        <f>AF7-AB7</f>
        <v>-44888731.63000001</v>
      </c>
      <c r="AO7" s="44">
        <f>AF7/AB7*100</f>
        <v>64.48115772076325</v>
      </c>
      <c r="AP7" s="44">
        <f>AF7-Y7</f>
        <v>21689764.225766338</v>
      </c>
      <c r="AQ7" s="44">
        <f>AF7/Y7%</f>
        <v>136.26956442349083</v>
      </c>
      <c r="AR7" s="44">
        <f>AF7-M7</f>
        <v>-38506419.8355432</v>
      </c>
      <c r="AS7" s="44">
        <f>IF(M7=0,0,AF7/M7*100)</f>
        <v>67.910712727037506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36448748.359999999</v>
      </c>
      <c r="W8" s="44">
        <f t="shared" ref="W8:W9" si="7">V8/S8%</f>
        <v>9.8488559607946566</v>
      </c>
      <c r="X8" s="52">
        <f t="shared" ref="X8:AB8" si="8">X7-X37-X53</f>
        <v>0</v>
      </c>
      <c r="Y8" s="52">
        <f t="shared" si="8"/>
        <v>50541813.704233654</v>
      </c>
      <c r="Z8" s="52">
        <f t="shared" si="8"/>
        <v>372608810</v>
      </c>
      <c r="AA8" s="52">
        <f t="shared" si="8"/>
        <v>545150607.50999999</v>
      </c>
      <c r="AB8" s="52">
        <f t="shared" si="8"/>
        <v>114521193.66000001</v>
      </c>
      <c r="AC8" s="52">
        <f t="shared" ref="AC8:AD8" si="9">AC7-AC37-AC53</f>
        <v>34538839.770000003</v>
      </c>
      <c r="AD8" s="52">
        <f t="shared" si="9"/>
        <v>4671194.6900000004</v>
      </c>
      <c r="AE8" s="52">
        <v>68017067.909999996</v>
      </c>
      <c r="AF8" s="52">
        <f>AF7-AF37-AF53</f>
        <v>72688262.599999994</v>
      </c>
      <c r="AG8" s="51">
        <f t="shared" ref="AG8:AG63" si="10">AD8-AC8</f>
        <v>-29867645.080000002</v>
      </c>
      <c r="AH8" s="64">
        <f t="shared" si="4"/>
        <v>-299920547.39999998</v>
      </c>
      <c r="AI8" s="64">
        <f t="shared" si="5"/>
        <v>19.507929133505993</v>
      </c>
      <c r="AJ8" s="51">
        <f t="shared" ref="AJ8:AJ62" si="11">AF8-AA8</f>
        <v>-472462344.90999997</v>
      </c>
      <c r="AK8" s="51">
        <f>AF8/AA8%</f>
        <v>13.333611225713737</v>
      </c>
      <c r="AL8" s="51"/>
      <c r="AM8" s="51"/>
      <c r="AN8" s="64">
        <f t="shared" ref="AN8:AN63" si="12">AF8-AB8</f>
        <v>-41832931.060000017</v>
      </c>
      <c r="AO8" s="64">
        <f t="shared" ref="AO8:AO63" si="13">AF8/AB8*100</f>
        <v>63.471450372585977</v>
      </c>
      <c r="AP8" s="51">
        <f t="shared" ref="AP8:AP63" si="14">AF8-Y8</f>
        <v>22146448.89576634</v>
      </c>
      <c r="AQ8" s="51">
        <f>AF8/Y8%</f>
        <v>143.81807314111333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29869615.210000001</v>
      </c>
      <c r="W9" s="44">
        <f t="shared" si="7"/>
        <v>9.2372609583820058</v>
      </c>
      <c r="X9" s="70">
        <f t="shared" si="16"/>
        <v>0</v>
      </c>
      <c r="Y9" s="70">
        <f>Y10+Y11+Y12+Y13+Y14+Y15+Y16+Y17+Y20+Y21</f>
        <v>43962680.554233655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104075030.84</v>
      </c>
      <c r="AC9" s="70">
        <f t="shared" ref="AC9:AD9" si="17">AC10+AC11+AC12+AC13+AC14+AC15+AC16+AC17+AC20+AC21</f>
        <v>30664151.979999997</v>
      </c>
      <c r="AD9" s="70">
        <f t="shared" si="17"/>
        <v>4317279.0600000005</v>
      </c>
      <c r="AE9" s="70">
        <v>60833002.339999996</v>
      </c>
      <c r="AF9" s="70">
        <f>AF10+AF11+AF12+AF13+AF14+AF15+AF16+AF17+AF20+AF21</f>
        <v>65150281.399999999</v>
      </c>
      <c r="AG9" s="71">
        <f t="shared" si="10"/>
        <v>-26346872.919999994</v>
      </c>
      <c r="AH9" s="72"/>
      <c r="AI9" s="72"/>
      <c r="AJ9" s="71">
        <f t="shared" si="11"/>
        <v>-428740056.11000001</v>
      </c>
      <c r="AK9" s="71">
        <f>AF9/AA9%</f>
        <v>13.191244381994187</v>
      </c>
      <c r="AL9" s="73"/>
      <c r="AM9" s="73"/>
      <c r="AN9" s="72">
        <f t="shared" si="12"/>
        <v>-38924749.440000005</v>
      </c>
      <c r="AO9" s="72">
        <f t="shared" si="13"/>
        <v>62.59933902893475</v>
      </c>
      <c r="AP9" s="71">
        <f t="shared" si="14"/>
        <v>21187600.845766343</v>
      </c>
      <c r="AQ9" s="71">
        <f>AF9/Y9%</f>
        <v>148.19451539045417</v>
      </c>
      <c r="AR9" s="23"/>
      <c r="AS9" s="23"/>
      <c r="AT9" s="49"/>
    </row>
    <row r="10" spans="1:47" s="10" customFormat="1" ht="91.5" hidden="1" customHeight="1" x14ac:dyDescent="0.3">
      <c r="A10" s="9"/>
      <c r="B10" s="136" t="s">
        <v>26</v>
      </c>
      <c r="C10" s="136"/>
      <c r="D10" s="136"/>
      <c r="E10" s="136"/>
      <c r="F10" s="136"/>
      <c r="G10" s="136"/>
      <c r="H10" s="136"/>
      <c r="I10" s="136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21126327.710000001</v>
      </c>
      <c r="W10" s="12"/>
      <c r="X10" s="46"/>
      <c r="Y10" s="47">
        <f>V10/31.84%*53.08%</f>
        <v>35219393.054233663</v>
      </c>
      <c r="Z10" s="46">
        <v>188231000</v>
      </c>
      <c r="AA10" s="46">
        <v>340259137.50999999</v>
      </c>
      <c r="AB10" s="46">
        <v>74184885.840000004</v>
      </c>
      <c r="AC10" s="46">
        <f>22452160.97+784316.63-1.06+30608.25+3360.49+263495.44</f>
        <v>23533940.719999999</v>
      </c>
      <c r="AD10" s="46">
        <f>1978903.57+2090246.2+25642.95+9.68</f>
        <v>4094802.4000000004</v>
      </c>
      <c r="AE10" s="46">
        <v>44237000.090000004</v>
      </c>
      <c r="AF10" s="46">
        <f>AE10+AD10</f>
        <v>48331802.490000002</v>
      </c>
      <c r="AG10" s="46">
        <f t="shared" si="10"/>
        <v>-19439138.32</v>
      </c>
      <c r="AH10" s="44">
        <f t="shared" si="4"/>
        <v>-139899197.50999999</v>
      </c>
      <c r="AI10" s="44">
        <f t="shared" si="5"/>
        <v>25.676855826086033</v>
      </c>
      <c r="AJ10" s="46">
        <f t="shared" si="11"/>
        <v>-291927335.01999998</v>
      </c>
      <c r="AK10" s="44">
        <f t="shared" ref="AK10:AK63" si="18">AF10/AA10%</f>
        <v>14.204409863520436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-25853083.350000001</v>
      </c>
      <c r="AO10" s="44">
        <f t="shared" si="13"/>
        <v>65.150470938569285</v>
      </c>
      <c r="AP10" s="46">
        <f t="shared" si="14"/>
        <v>13112409.435766339</v>
      </c>
      <c r="AQ10" s="44">
        <f t="shared" ref="AQ10:AQ18" si="19">AF10/Y10%</f>
        <v>137.23065135045002</v>
      </c>
      <c r="AR10" s="46">
        <f t="shared" ref="AR10:AR20" si="20">AF10-M10</f>
        <v>-10503647.605543219</v>
      </c>
      <c r="AS10" s="46">
        <f t="shared" ref="AS10:AS20" si="21">IF(M10=0,0,AF10/M10*100)</f>
        <v>82.147416925533349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4" t="s">
        <v>25</v>
      </c>
      <c r="C11" s="124"/>
      <c r="D11" s="124"/>
      <c r="E11" s="124"/>
      <c r="F11" s="124"/>
      <c r="G11" s="124"/>
      <c r="H11" s="124"/>
      <c r="I11" s="124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5309837.24</v>
      </c>
      <c r="W11" s="12"/>
      <c r="X11" s="12"/>
      <c r="Y11" s="12">
        <f t="shared" ref="Y11:Y16" si="22">V11</f>
        <v>5309837.24</v>
      </c>
      <c r="Z11" s="12">
        <v>28603900</v>
      </c>
      <c r="AA11" s="12">
        <v>32294200</v>
      </c>
      <c r="AB11" s="12">
        <v>7763710</v>
      </c>
      <c r="AC11" s="12">
        <f>88066.45+1237977.07+5605.75+1398201.52+29659.6</f>
        <v>2759510.39</v>
      </c>
      <c r="AD11" s="12">
        <f>80.1-6.68+6.38+0.3</f>
        <v>80.09999999999998</v>
      </c>
      <c r="AE11" s="12">
        <v>5611711.4000000004</v>
      </c>
      <c r="AF11" s="12">
        <f t="shared" ref="AF11:AF62" si="23">AE11+AD11</f>
        <v>5611791.5</v>
      </c>
      <c r="AG11" s="12">
        <f t="shared" si="10"/>
        <v>-2759430.29</v>
      </c>
      <c r="AH11" s="44">
        <f t="shared" si="4"/>
        <v>-22992108.5</v>
      </c>
      <c r="AI11" s="44">
        <f t="shared" si="5"/>
        <v>19.618973286859482</v>
      </c>
      <c r="AJ11" s="12">
        <f t="shared" si="11"/>
        <v>-26682408.5</v>
      </c>
      <c r="AK11" s="44">
        <f t="shared" si="18"/>
        <v>17.377087836205881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-2151918.5</v>
      </c>
      <c r="AO11" s="44">
        <f>AF11/AB11*100</f>
        <v>72.282343106581777</v>
      </c>
      <c r="AP11" s="12">
        <f t="shared" si="14"/>
        <v>301954.25999999978</v>
      </c>
      <c r="AQ11" s="44">
        <f t="shared" si="19"/>
        <v>105.686695210266</v>
      </c>
      <c r="AR11" s="12">
        <f t="shared" si="20"/>
        <v>-2282133.6100000003</v>
      </c>
      <c r="AS11" s="12">
        <f t="shared" si="21"/>
        <v>71.090001764660769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146571.43</v>
      </c>
      <c r="W12" s="12"/>
      <c r="X12" s="12"/>
      <c r="Y12" s="12">
        <f t="shared" si="22"/>
        <v>146571.43</v>
      </c>
      <c r="Z12" s="12">
        <v>11972000</v>
      </c>
      <c r="AA12" s="12">
        <v>27969000</v>
      </c>
      <c r="AB12" s="12">
        <v>2411738</v>
      </c>
      <c r="AC12" s="12">
        <f>37839.87+12293.4+107749.63</f>
        <v>157882.90000000002</v>
      </c>
      <c r="AD12" s="12">
        <f>-99842.1+3300-12373.5</f>
        <v>-108915.6</v>
      </c>
      <c r="AE12" s="12">
        <v>230030.91000000006</v>
      </c>
      <c r="AF12" s="12">
        <f t="shared" si="23"/>
        <v>121115.31000000006</v>
      </c>
      <c r="AG12" s="12">
        <f t="shared" si="10"/>
        <v>-266798.5</v>
      </c>
      <c r="AH12" s="44">
        <f t="shared" si="4"/>
        <v>-11850884.689999999</v>
      </c>
      <c r="AI12" s="44">
        <f t="shared" si="5"/>
        <v>1.0116547778149019</v>
      </c>
      <c r="AJ12" s="12">
        <f t="shared" si="11"/>
        <v>-27847884.690000001</v>
      </c>
      <c r="AK12" s="44">
        <f t="shared" si="18"/>
        <v>0.43303410919232027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-2290622.69</v>
      </c>
      <c r="AO12" s="44">
        <f t="shared" si="13"/>
        <v>5.0219099255391777</v>
      </c>
      <c r="AP12" s="12">
        <f t="shared" si="14"/>
        <v>-25456.119999999937</v>
      </c>
      <c r="AQ12" s="116">
        <v>1875.42</v>
      </c>
      <c r="AR12" s="12">
        <f t="shared" si="20"/>
        <v>121115.31000000006</v>
      </c>
      <c r="AS12" s="12">
        <f t="shared" si="21"/>
        <v>0</v>
      </c>
      <c r="AT12" s="34">
        <f>AF12</f>
        <v>121115.31000000006</v>
      </c>
    </row>
    <row r="13" spans="1:47" s="10" customFormat="1" ht="70.5" hidden="1" customHeight="1" x14ac:dyDescent="0.3">
      <c r="A13" s="9"/>
      <c r="B13" s="124" t="s">
        <v>24</v>
      </c>
      <c r="C13" s="124"/>
      <c r="D13" s="124"/>
      <c r="E13" s="124"/>
      <c r="F13" s="124"/>
      <c r="G13" s="124"/>
      <c r="H13" s="124"/>
      <c r="I13" s="124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-421725.67</v>
      </c>
      <c r="W13" s="12"/>
      <c r="X13" s="12"/>
      <c r="Y13" s="12">
        <f t="shared" si="22"/>
        <v>-421725.67</v>
      </c>
      <c r="Z13" s="12">
        <v>8000</v>
      </c>
      <c r="AA13" s="12">
        <v>0</v>
      </c>
      <c r="AB13" s="12">
        <v>0</v>
      </c>
      <c r="AC13" s="12">
        <v>3.06</v>
      </c>
      <c r="AD13" s="12">
        <v>28.01</v>
      </c>
      <c r="AE13" s="12">
        <v>2276.23</v>
      </c>
      <c r="AF13" s="12">
        <f t="shared" si="23"/>
        <v>2304.2400000000002</v>
      </c>
      <c r="AG13" s="12">
        <f t="shared" si="10"/>
        <v>24.950000000000003</v>
      </c>
      <c r="AH13" s="44">
        <f t="shared" si="4"/>
        <v>-5695.76</v>
      </c>
      <c r="AI13" s="44">
        <f t="shared" si="5"/>
        <v>28.803000000000001</v>
      </c>
      <c r="AJ13" s="12">
        <f t="shared" si="11"/>
        <v>2304.2400000000002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2304.2400000000002</v>
      </c>
      <c r="AO13" s="44">
        <v>0</v>
      </c>
      <c r="AP13" s="117">
        <v>-428268.92</v>
      </c>
      <c r="AQ13" s="116">
        <v>0.53</v>
      </c>
      <c r="AR13" s="12">
        <f t="shared" si="20"/>
        <v>-5412374.6200000001</v>
      </c>
      <c r="AS13" s="12">
        <f t="shared" si="21"/>
        <v>4.255543236409038E-2</v>
      </c>
      <c r="AT13" s="34">
        <f>AF13</f>
        <v>2304.2400000000002</v>
      </c>
      <c r="AU13" s="86" t="s">
        <v>75</v>
      </c>
    </row>
    <row r="14" spans="1:47" s="10" customFormat="1" ht="42.75" hidden="1" customHeight="1" x14ac:dyDescent="0.3">
      <c r="A14" s="9"/>
      <c r="B14" s="124" t="s">
        <v>23</v>
      </c>
      <c r="C14" s="124"/>
      <c r="D14" s="124"/>
      <c r="E14" s="124"/>
      <c r="F14" s="124"/>
      <c r="G14" s="124"/>
      <c r="H14" s="124"/>
      <c r="I14" s="124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300813.58</v>
      </c>
      <c r="W14" s="12"/>
      <c r="X14" s="12"/>
      <c r="Y14" s="12">
        <f t="shared" si="22"/>
        <v>300813.58</v>
      </c>
      <c r="Z14" s="12">
        <v>5814000</v>
      </c>
      <c r="AA14" s="12">
        <v>7692000</v>
      </c>
      <c r="AB14" s="12">
        <v>3813212</v>
      </c>
      <c r="AC14" s="12">
        <v>0</v>
      </c>
      <c r="AD14" s="12">
        <v>0</v>
      </c>
      <c r="AE14" s="12">
        <v>-663092</v>
      </c>
      <c r="AF14" s="12">
        <f t="shared" si="23"/>
        <v>-663092</v>
      </c>
      <c r="AG14" s="12">
        <f t="shared" si="10"/>
        <v>0</v>
      </c>
      <c r="AH14" s="44">
        <f t="shared" si="4"/>
        <v>-6477092</v>
      </c>
      <c r="AI14" s="44">
        <f t="shared" si="5"/>
        <v>-11.405091159270727</v>
      </c>
      <c r="AJ14" s="12">
        <f t="shared" si="11"/>
        <v>-8355092</v>
      </c>
      <c r="AK14" s="44">
        <f t="shared" si="18"/>
        <v>-8.6205408216328649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-4476304</v>
      </c>
      <c r="AO14" s="44">
        <f t="shared" si="13"/>
        <v>-17.389329520624607</v>
      </c>
      <c r="AP14" s="12">
        <f t="shared" si="14"/>
        <v>-963905.58000000007</v>
      </c>
      <c r="AQ14" s="44">
        <f t="shared" si="19"/>
        <v>-220.43286742573258</v>
      </c>
      <c r="AR14" s="12">
        <f t="shared" si="20"/>
        <v>-4230169.8599999994</v>
      </c>
      <c r="AS14" s="12">
        <f t="shared" si="21"/>
        <v>-18.58922137460717</v>
      </c>
      <c r="AT14" s="34">
        <f>AF14</f>
        <v>-663092</v>
      </c>
      <c r="AU14" s="86"/>
    </row>
    <row r="15" spans="1:47" s="10" customFormat="1" ht="99" hidden="1" customHeight="1" x14ac:dyDescent="0.3">
      <c r="A15" s="9"/>
      <c r="B15" s="124" t="s">
        <v>22</v>
      </c>
      <c r="C15" s="124"/>
      <c r="D15" s="124"/>
      <c r="E15" s="124"/>
      <c r="F15" s="124"/>
      <c r="G15" s="124"/>
      <c r="H15" s="124"/>
      <c r="I15" s="124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-294128.31</v>
      </c>
      <c r="W15" s="12"/>
      <c r="X15" s="12"/>
      <c r="Y15" s="12">
        <f t="shared" si="22"/>
        <v>-294128.31</v>
      </c>
      <c r="Z15" s="12">
        <v>8168000</v>
      </c>
      <c r="AA15" s="12">
        <v>6694000</v>
      </c>
      <c r="AB15" s="12">
        <v>3998544</v>
      </c>
      <c r="AC15" s="12">
        <f>67218.78</f>
        <v>67218.78</v>
      </c>
      <c r="AD15" s="12">
        <v>17572.21</v>
      </c>
      <c r="AE15" s="12">
        <v>3851316.6099999994</v>
      </c>
      <c r="AF15" s="12">
        <f t="shared" si="23"/>
        <v>3868888.8199999994</v>
      </c>
      <c r="AG15" s="12">
        <f t="shared" si="10"/>
        <v>-49646.57</v>
      </c>
      <c r="AH15" s="44">
        <f t="shared" si="4"/>
        <v>-4299111.1800000006</v>
      </c>
      <c r="AI15" s="44">
        <f t="shared" si="5"/>
        <v>47.366415523996075</v>
      </c>
      <c r="AJ15" s="12">
        <f t="shared" si="11"/>
        <v>-2825111.1800000006</v>
      </c>
      <c r="AK15" s="44">
        <f t="shared" si="18"/>
        <v>57.79636719450253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-129655.18000000063</v>
      </c>
      <c r="AO15" s="44">
        <f t="shared" si="13"/>
        <v>96.757440208235778</v>
      </c>
      <c r="AP15" s="12">
        <f t="shared" si="14"/>
        <v>4163017.1299999994</v>
      </c>
      <c r="AQ15" s="116">
        <v>1030.02</v>
      </c>
      <c r="AR15" s="12">
        <f t="shared" si="20"/>
        <v>3727064.4599999995</v>
      </c>
      <c r="AS15" s="12">
        <f t="shared" si="21"/>
        <v>2727.9437890641634</v>
      </c>
      <c r="AT15" s="34">
        <f>AF15</f>
        <v>3868888.8199999994</v>
      </c>
      <c r="AU15" s="86"/>
    </row>
    <row r="16" spans="1:47" s="10" customFormat="1" ht="65.25" hidden="1" customHeight="1" x14ac:dyDescent="0.3">
      <c r="A16" s="9"/>
      <c r="B16" s="124" t="s">
        <v>21</v>
      </c>
      <c r="C16" s="124"/>
      <c r="D16" s="124"/>
      <c r="E16" s="124"/>
      <c r="F16" s="124"/>
      <c r="G16" s="124"/>
      <c r="H16" s="124"/>
      <c r="I16" s="124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-260242.74</v>
      </c>
      <c r="W16" s="12"/>
      <c r="X16" s="12"/>
      <c r="Y16" s="12">
        <f t="shared" si="22"/>
        <v>-260242.74</v>
      </c>
      <c r="Z16" s="12">
        <v>15443000</v>
      </c>
      <c r="AA16" s="12">
        <v>14460000</v>
      </c>
      <c r="AB16" s="12">
        <v>990980</v>
      </c>
      <c r="AC16" s="12">
        <f>36445.09+18517.06</f>
        <v>54962.149999999994</v>
      </c>
      <c r="AD16" s="12">
        <f>9687.58+14675.24</f>
        <v>24362.82</v>
      </c>
      <c r="AE16" s="12">
        <v>840599.8</v>
      </c>
      <c r="AF16" s="12">
        <f t="shared" si="23"/>
        <v>864962.62</v>
      </c>
      <c r="AG16" s="12">
        <f t="shared" si="10"/>
        <v>-30599.329999999994</v>
      </c>
      <c r="AH16" s="44">
        <f t="shared" si="4"/>
        <v>-14578037.380000001</v>
      </c>
      <c r="AI16" s="44">
        <f t="shared" si="5"/>
        <v>5.6010012303308949</v>
      </c>
      <c r="AJ16" s="12">
        <f t="shared" si="11"/>
        <v>-13595037.380000001</v>
      </c>
      <c r="AK16" s="44">
        <f t="shared" si="18"/>
        <v>5.9817608575380357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-126017.38</v>
      </c>
      <c r="AO16" s="44">
        <f t="shared" si="13"/>
        <v>87.283559708571318</v>
      </c>
      <c r="AP16" s="12">
        <f t="shared" si="14"/>
        <v>1125205.3599999999</v>
      </c>
      <c r="AQ16" s="116">
        <v>231.26</v>
      </c>
      <c r="AR16" s="12">
        <f t="shared" si="20"/>
        <v>-295716.2699999999</v>
      </c>
      <c r="AS16" s="12">
        <f t="shared" si="21"/>
        <v>74.522129027434985</v>
      </c>
      <c r="AT16" s="34">
        <v>11117000</v>
      </c>
      <c r="AU16" s="86"/>
    </row>
    <row r="17" spans="1:47" s="10" customFormat="1" ht="24" hidden="1" customHeight="1" x14ac:dyDescent="0.3">
      <c r="A17" s="9"/>
      <c r="B17" s="124" t="s">
        <v>19</v>
      </c>
      <c r="C17" s="124"/>
      <c r="D17" s="124"/>
      <c r="E17" s="124"/>
      <c r="F17" s="124"/>
      <c r="G17" s="124"/>
      <c r="H17" s="124"/>
      <c r="I17" s="124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3063434.75</v>
      </c>
      <c r="W17" s="12"/>
      <c r="X17" s="12">
        <f t="shared" si="32"/>
        <v>0</v>
      </c>
      <c r="Y17" s="12">
        <f>Y18+Y19</f>
        <v>3063434.75</v>
      </c>
      <c r="Z17" s="12">
        <f t="shared" ref="Z17:AB17" si="33">Z18+Z19</f>
        <v>57489000</v>
      </c>
      <c r="AA17" s="12">
        <f t="shared" si="33"/>
        <v>56779000</v>
      </c>
      <c r="AB17" s="12">
        <f t="shared" si="33"/>
        <v>9421532</v>
      </c>
      <c r="AC17" s="12">
        <f t="shared" ref="AC17:AD17" si="34">AC18+AC19</f>
        <v>3947204.73</v>
      </c>
      <c r="AD17" s="12">
        <f t="shared" si="34"/>
        <v>211325.46000000002</v>
      </c>
      <c r="AE17" s="12">
        <v>5797696.669999999</v>
      </c>
      <c r="AF17" s="12">
        <f t="shared" si="31"/>
        <v>6009022.129999999</v>
      </c>
      <c r="AG17" s="12">
        <f t="shared" si="10"/>
        <v>-3735879.27</v>
      </c>
      <c r="AH17" s="44">
        <f t="shared" si="4"/>
        <v>-51479977.870000005</v>
      </c>
      <c r="AI17" s="44">
        <f t="shared" si="5"/>
        <v>10.452472873071368</v>
      </c>
      <c r="AJ17" s="12">
        <f t="shared" si="11"/>
        <v>-50769977.870000005</v>
      </c>
      <c r="AK17" s="44">
        <f t="shared" si="18"/>
        <v>10.583177107733491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-3412509.870000001</v>
      </c>
      <c r="AO17" s="44">
        <f t="shared" si="13"/>
        <v>63.779671182988061</v>
      </c>
      <c r="AP17" s="12">
        <f t="shared" si="14"/>
        <v>2945587.379999999</v>
      </c>
      <c r="AQ17" s="116">
        <v>415.78</v>
      </c>
      <c r="AR17" s="12">
        <f t="shared" si="20"/>
        <v>-7642246.620000001</v>
      </c>
      <c r="AS17" s="12">
        <f t="shared" si="21"/>
        <v>44.018048725324519</v>
      </c>
      <c r="AT17" s="34">
        <f>AT18+AT19</f>
        <v>6009022.129999999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3131035.4-1299</f>
        <v>3129736.4</v>
      </c>
      <c r="W18" s="53"/>
      <c r="X18" s="53"/>
      <c r="Y18" s="13">
        <f>V18</f>
        <v>3129736.4</v>
      </c>
      <c r="Z18" s="66">
        <v>23363753.050000001</v>
      </c>
      <c r="AA18" s="66">
        <v>22995495</v>
      </c>
      <c r="AB18" s="16">
        <v>7700253</v>
      </c>
      <c r="AC18" s="13">
        <f>3220559.86+567415.96</f>
        <v>3787975.82</v>
      </c>
      <c r="AD18" s="13">
        <f>55270.62+72214.42</f>
        <v>127485.04000000001</v>
      </c>
      <c r="AE18" s="13">
        <v>4430057.2799999993</v>
      </c>
      <c r="AF18" s="13">
        <f t="shared" si="23"/>
        <v>4557542.3199999994</v>
      </c>
      <c r="AG18" s="13">
        <f t="shared" si="10"/>
        <v>-3660490.78</v>
      </c>
      <c r="AH18" s="44">
        <f t="shared" si="4"/>
        <v>-18806210.73</v>
      </c>
      <c r="AI18" s="44">
        <f t="shared" si="5"/>
        <v>19.506893050301262</v>
      </c>
      <c r="AJ18" s="13">
        <f t="shared" si="11"/>
        <v>-18437952.68</v>
      </c>
      <c r="AK18" s="44">
        <f t="shared" si="18"/>
        <v>19.819283385724027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-3142710.6800000006</v>
      </c>
      <c r="AO18" s="44">
        <f t="shared" si="13"/>
        <v>59.186916585727758</v>
      </c>
      <c r="AP18" s="13">
        <f t="shared" si="14"/>
        <v>1427805.9199999995</v>
      </c>
      <c r="AQ18" s="44">
        <f t="shared" si="19"/>
        <v>145.6206446012514</v>
      </c>
      <c r="AR18" s="13">
        <f t="shared" si="20"/>
        <v>-5528074.1900000004</v>
      </c>
      <c r="AS18" s="13">
        <f t="shared" si="21"/>
        <v>45.188534736385684</v>
      </c>
      <c r="AT18" s="31">
        <f>AF18</f>
        <v>4557542.3199999994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-66301.649999999994</v>
      </c>
      <c r="W19" s="53"/>
      <c r="X19" s="53"/>
      <c r="Y19" s="13">
        <f>V19</f>
        <v>-66301.649999999994</v>
      </c>
      <c r="Z19" s="66">
        <v>34125246.950000003</v>
      </c>
      <c r="AA19" s="66">
        <v>33783505</v>
      </c>
      <c r="AB19" s="16">
        <v>1721279</v>
      </c>
      <c r="AC19" s="13">
        <f>123860.17+35368.74</f>
        <v>159228.91</v>
      </c>
      <c r="AD19" s="13">
        <f>69760.13+14080.29</f>
        <v>83840.420000000013</v>
      </c>
      <c r="AE19" s="13">
        <v>1367639.39</v>
      </c>
      <c r="AF19" s="13">
        <f t="shared" si="23"/>
        <v>1451479.8099999998</v>
      </c>
      <c r="AG19" s="13">
        <f t="shared" si="10"/>
        <v>-75388.489999999991</v>
      </c>
      <c r="AH19" s="44">
        <f t="shared" si="4"/>
        <v>-32673767.140000004</v>
      </c>
      <c r="AI19" s="44">
        <f t="shared" si="5"/>
        <v>4.2533899084355191</v>
      </c>
      <c r="AJ19" s="13">
        <f t="shared" si="11"/>
        <v>-32332025.190000001</v>
      </c>
      <c r="AK19" s="44">
        <f t="shared" si="18"/>
        <v>4.2964156916222871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-269799.19000000018</v>
      </c>
      <c r="AO19" s="44">
        <f t="shared" si="13"/>
        <v>84.325656096425959</v>
      </c>
      <c r="AP19" s="13">
        <f t="shared" si="14"/>
        <v>1517781.4599999997</v>
      </c>
      <c r="AQ19" s="116">
        <v>96.97</v>
      </c>
      <c r="AR19" s="13">
        <f t="shared" si="20"/>
        <v>-2114172.4300000006</v>
      </c>
      <c r="AS19" s="13">
        <f t="shared" si="21"/>
        <v>40.707273516948469</v>
      </c>
      <c r="AT19" s="31">
        <f>AF19</f>
        <v>1451479.8099999998</v>
      </c>
      <c r="AU19" s="86"/>
    </row>
    <row r="20" spans="1:47" s="10" customFormat="1" ht="30.75" hidden="1" customHeight="1" x14ac:dyDescent="0.3">
      <c r="A20" s="9"/>
      <c r="B20" s="124" t="s">
        <v>18</v>
      </c>
      <c r="C20" s="124"/>
      <c r="D20" s="124"/>
      <c r="E20" s="124"/>
      <c r="F20" s="124"/>
      <c r="G20" s="124"/>
      <c r="H20" s="124"/>
      <c r="I20" s="124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898727.22</v>
      </c>
      <c r="W20" s="12"/>
      <c r="X20" s="12"/>
      <c r="Y20" s="12">
        <f>V20</f>
        <v>898727.22</v>
      </c>
      <c r="Z20" s="12">
        <v>7706000</v>
      </c>
      <c r="AA20" s="12">
        <v>7743000</v>
      </c>
      <c r="AB20" s="12">
        <v>1490429</v>
      </c>
      <c r="AC20" s="12">
        <f>93008.05+50421.2</f>
        <v>143429.25</v>
      </c>
      <c r="AD20" s="12">
        <f>68636.99+9386.67</f>
        <v>78023.66</v>
      </c>
      <c r="AE20" s="12">
        <v>925462.63</v>
      </c>
      <c r="AF20" s="12">
        <f t="shared" si="23"/>
        <v>1003486.29</v>
      </c>
      <c r="AG20" s="12">
        <f t="shared" si="10"/>
        <v>-65405.59</v>
      </c>
      <c r="AH20" s="44">
        <f t="shared" si="4"/>
        <v>-6702513.71</v>
      </c>
      <c r="AI20" s="44">
        <f t="shared" si="5"/>
        <v>13.022142356605244</v>
      </c>
      <c r="AJ20" s="12">
        <f t="shared" si="11"/>
        <v>-6739513.71</v>
      </c>
      <c r="AK20" s="44">
        <f t="shared" si="18"/>
        <v>12.959915924060443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-486942.70999999996</v>
      </c>
      <c r="AO20" s="44">
        <f t="shared" si="13"/>
        <v>67.328687914687663</v>
      </c>
      <c r="AP20" s="12">
        <f t="shared" si="14"/>
        <v>104759.07000000007</v>
      </c>
      <c r="AQ20" s="44">
        <f t="shared" ref="AQ20:AQ63" si="35">AF20/Y20%</f>
        <v>111.65638112084778</v>
      </c>
      <c r="AR20" s="12">
        <f t="shared" si="20"/>
        <v>-2070533.17</v>
      </c>
      <c r="AS20" s="12">
        <f t="shared" si="21"/>
        <v>32.64410987170524</v>
      </c>
      <c r="AT20" s="34">
        <f>AF20</f>
        <v>1003486.29</v>
      </c>
      <c r="AU20" s="86"/>
    </row>
    <row r="21" spans="1:47" s="10" customFormat="1" ht="62.25" hidden="1" customHeight="1" x14ac:dyDescent="0.3">
      <c r="A21" s="9"/>
      <c r="B21" s="138" t="s">
        <v>58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15838876.4</v>
      </c>
      <c r="W22" s="71"/>
      <c r="X22" s="71">
        <f t="shared" ref="X22:AB22" si="37">X23+X36+X37+X45+X48+X50</f>
        <v>0</v>
      </c>
      <c r="Y22" s="71">
        <f t="shared" si="37"/>
        <v>15838876.4</v>
      </c>
      <c r="Z22" s="71">
        <f t="shared" si="37"/>
        <v>76980199.650000006</v>
      </c>
      <c r="AA22" s="71">
        <f t="shared" si="37"/>
        <v>83684298.329999998</v>
      </c>
      <c r="AB22" s="71">
        <f t="shared" si="37"/>
        <v>22305021.969999999</v>
      </c>
      <c r="AC22" s="71">
        <f t="shared" ref="AC22:AD22" si="38">AC23+AC36+AC37+AC45+AC48+AC50</f>
        <v>4763722.07</v>
      </c>
      <c r="AD22" s="71">
        <f t="shared" si="38"/>
        <v>1751070.9100000001</v>
      </c>
      <c r="AE22" s="71">
        <v>14589968.869999999</v>
      </c>
      <c r="AF22" s="71">
        <f>AF23+AF36+AF37+AF45+AF48+AF50</f>
        <v>16341039.779999999</v>
      </c>
      <c r="AG22" s="71">
        <f t="shared" ref="AG22" si="39">AD22-AC22</f>
        <v>-3012651.16</v>
      </c>
      <c r="AH22" s="72">
        <f t="shared" si="4"/>
        <v>-60639159.870000005</v>
      </c>
      <c r="AI22" s="72">
        <f t="shared" ref="AI22" si="40">AF22/Z22*100</f>
        <v>21.22758820358554</v>
      </c>
      <c r="AJ22" s="71">
        <f t="shared" si="11"/>
        <v>-67343258.549999997</v>
      </c>
      <c r="AK22" s="72">
        <f t="shared" ref="AK22" si="41">AF22/AA22%</f>
        <v>19.527008179671739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-5963982.1899999995</v>
      </c>
      <c r="AO22" s="72">
        <f t="shared" ref="AO22" si="42">AF22/AB22*100</f>
        <v>73.261706722273175</v>
      </c>
      <c r="AP22" s="71">
        <f t="shared" si="14"/>
        <v>502163.37999999896</v>
      </c>
      <c r="AQ22" s="72">
        <f t="shared" ref="AQ22" si="43">AF22/Y22%</f>
        <v>103.17044825225102</v>
      </c>
      <c r="AR22" s="12"/>
      <c r="AS22" s="12"/>
      <c r="AT22" s="34"/>
    </row>
    <row r="23" spans="1:47" s="10" customFormat="1" ht="83.25" hidden="1" customHeight="1" x14ac:dyDescent="0.3">
      <c r="A23" s="9"/>
      <c r="B23" s="124" t="s">
        <v>17</v>
      </c>
      <c r="C23" s="124"/>
      <c r="D23" s="124"/>
      <c r="E23" s="124"/>
      <c r="F23" s="124"/>
      <c r="G23" s="124"/>
      <c r="H23" s="124"/>
      <c r="I23" s="124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5700079.1399999997</v>
      </c>
      <c r="W23" s="12"/>
      <c r="X23" s="12">
        <f t="shared" si="46"/>
        <v>0</v>
      </c>
      <c r="Y23" s="12">
        <f>Y24+Y27+Y29+Y31</f>
        <v>5700079.1399999997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9798958.5899999999</v>
      </c>
      <c r="AC23" s="12">
        <f>AC24+AC27+AC29+AC31</f>
        <v>3403376.73</v>
      </c>
      <c r="AD23" s="12">
        <f>AD24+AD27+AD29+AD31</f>
        <v>185457.02</v>
      </c>
      <c r="AE23" s="12">
        <v>5736554.0500000007</v>
      </c>
      <c r="AF23" s="12">
        <f t="shared" si="44"/>
        <v>5922011.0700000003</v>
      </c>
      <c r="AG23" s="12">
        <f t="shared" si="10"/>
        <v>-3217919.71</v>
      </c>
      <c r="AH23" s="44">
        <f t="shared" si="4"/>
        <v>-41106988.93</v>
      </c>
      <c r="AI23" s="44">
        <f t="shared" si="5"/>
        <v>12.592253864636715</v>
      </c>
      <c r="AJ23" s="12">
        <f t="shared" si="11"/>
        <v>-43612178.93</v>
      </c>
      <c r="AK23" s="44">
        <f t="shared" si="18"/>
        <v>11.955401047236263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-3876947.5199999996</v>
      </c>
      <c r="AO23" s="44">
        <f t="shared" si="13"/>
        <v>60.435106604527455</v>
      </c>
      <c r="AP23" s="12">
        <f t="shared" si="14"/>
        <v>221931.93000000063</v>
      </c>
      <c r="AQ23" s="44">
        <f t="shared" si="35"/>
        <v>103.89348857356393</v>
      </c>
      <c r="AR23" s="12">
        <f>AF23-M23</f>
        <v>-4316454.9199999981</v>
      </c>
      <c r="AS23" s="12">
        <f>IF(M23=0,0,AF23/M23*100)</f>
        <v>57.840804235557172</v>
      </c>
      <c r="AT23" s="34">
        <f>AT24+AT27+AT29+AT31</f>
        <v>5716956.8600000003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71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5301764.1399999997</v>
      </c>
      <c r="W24" s="13"/>
      <c r="X24" s="13">
        <f t="shared" si="48"/>
        <v>0</v>
      </c>
      <c r="Y24" s="12">
        <f t="shared" si="48"/>
        <v>5301764.1399999997</v>
      </c>
      <c r="Z24" s="12">
        <f t="shared" si="48"/>
        <v>46880510</v>
      </c>
      <c r="AA24" s="12">
        <f>AA25+AA26</f>
        <v>48200367.740000002</v>
      </c>
      <c r="AB24" s="12">
        <f>AB25+AB26</f>
        <v>9258500</v>
      </c>
      <c r="AC24" s="12">
        <f>AC25+AC26</f>
        <v>3367238.69</v>
      </c>
      <c r="AD24" s="12">
        <f>AD25+AD26</f>
        <v>149105.76999999999</v>
      </c>
      <c r="AE24" s="12">
        <v>5256833.66</v>
      </c>
      <c r="AF24" s="12">
        <f t="shared" ref="AF24" si="49">AF25+AF26</f>
        <v>5405939.4300000006</v>
      </c>
      <c r="AG24" s="12">
        <f>AD24-AC24</f>
        <v>-3218132.92</v>
      </c>
      <c r="AH24" s="44">
        <f t="shared" si="4"/>
        <v>-41474570.57</v>
      </c>
      <c r="AI24" s="44">
        <f t="shared" si="5"/>
        <v>11.531315316322285</v>
      </c>
      <c r="AJ24" s="12">
        <f t="shared" si="11"/>
        <v>-42794428.310000002</v>
      </c>
      <c r="AK24" s="44">
        <f t="shared" si="18"/>
        <v>11.215556402308893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-3852560.5699999994</v>
      </c>
      <c r="AO24" s="44">
        <f t="shared" si="13"/>
        <v>58.388933736566408</v>
      </c>
      <c r="AP24" s="12">
        <f t="shared" si="14"/>
        <v>104175.29000000097</v>
      </c>
      <c r="AQ24" s="44">
        <f t="shared" si="35"/>
        <v>101.964917473677</v>
      </c>
      <c r="AR24" s="12">
        <f>AF24-M24</f>
        <v>-4462205.1799999988</v>
      </c>
      <c r="AS24" s="12">
        <f>IF(M24=0,0,AF24/M24*100)</f>
        <v>54.781720816310589</v>
      </c>
      <c r="AT24" s="31">
        <f>AF24</f>
        <v>5405939.4300000006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72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3690207.69</v>
      </c>
      <c r="W25" s="13"/>
      <c r="X25" s="13"/>
      <c r="Y25" s="13">
        <f>V25</f>
        <v>3690207.69</v>
      </c>
      <c r="Z25" s="13">
        <v>34696660</v>
      </c>
      <c r="AA25" s="13">
        <v>36508280</v>
      </c>
      <c r="AB25" s="13">
        <v>8521500</v>
      </c>
      <c r="AC25" s="13">
        <f>3303120.88+21000+4540.89</f>
        <v>3328661.77</v>
      </c>
      <c r="AD25" s="13">
        <f>40832.72+14822.4</f>
        <v>55655.12</v>
      </c>
      <c r="AE25" s="13">
        <v>4518557.24</v>
      </c>
      <c r="AF25" s="13">
        <f t="shared" si="23"/>
        <v>4574212.3600000003</v>
      </c>
      <c r="AG25" s="13">
        <f>AD25-AC25</f>
        <v>-3273006.65</v>
      </c>
      <c r="AH25" s="44">
        <f t="shared" si="4"/>
        <v>-30122447.640000001</v>
      </c>
      <c r="AI25" s="44">
        <f t="shared" si="5"/>
        <v>13.183437137753318</v>
      </c>
      <c r="AJ25" s="13">
        <f t="shared" si="11"/>
        <v>-31934067.640000001</v>
      </c>
      <c r="AK25" s="42">
        <f t="shared" si="18"/>
        <v>12.529246406568593</v>
      </c>
      <c r="AL25" s="13"/>
      <c r="AM25" s="13"/>
      <c r="AN25" s="42">
        <f t="shared" si="12"/>
        <v>-3947287.6399999997</v>
      </c>
      <c r="AO25" s="42">
        <f t="shared" si="13"/>
        <v>53.678488059613926</v>
      </c>
      <c r="AP25" s="13">
        <f t="shared" si="14"/>
        <v>884004.67000000039</v>
      </c>
      <c r="AQ25" s="42">
        <f t="shared" si="35"/>
        <v>123.95541780468189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85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875979.7+735576.75</f>
        <v>1611556.45</v>
      </c>
      <c r="W26" s="16"/>
      <c r="X26" s="16"/>
      <c r="Y26" s="13">
        <f>V26</f>
        <v>1611556.45</v>
      </c>
      <c r="Z26" s="13">
        <v>12183850</v>
      </c>
      <c r="AA26" s="13">
        <f>6966987.74+4725100</f>
        <v>11692087.74</v>
      </c>
      <c r="AB26" s="13">
        <f>632000+105000</f>
        <v>737000</v>
      </c>
      <c r="AC26" s="13">
        <f>9546.9+29030.02</f>
        <v>38576.92</v>
      </c>
      <c r="AD26" s="13">
        <f>53940.27+39510.38</f>
        <v>93450.65</v>
      </c>
      <c r="AE26" s="13">
        <v>738276.42</v>
      </c>
      <c r="AF26" s="13">
        <f t="shared" si="23"/>
        <v>831727.07000000007</v>
      </c>
      <c r="AG26" s="13">
        <f>AD26-AC26</f>
        <v>54873.729999999996</v>
      </c>
      <c r="AH26" s="44">
        <f t="shared" si="4"/>
        <v>-11352122.93</v>
      </c>
      <c r="AI26" s="44">
        <f t="shared" si="5"/>
        <v>6.826471681775466</v>
      </c>
      <c r="AJ26" s="12">
        <f t="shared" si="11"/>
        <v>-10860360.67</v>
      </c>
      <c r="AK26" s="42">
        <f t="shared" si="18"/>
        <v>7.1135890227248675</v>
      </c>
      <c r="AL26" s="13"/>
      <c r="AM26" s="13"/>
      <c r="AN26" s="42">
        <f t="shared" si="12"/>
        <v>94727.070000000065</v>
      </c>
      <c r="AO26" s="42">
        <f t="shared" si="13"/>
        <v>112.85306241519675</v>
      </c>
      <c r="AP26" s="13">
        <f t="shared" si="14"/>
        <v>-779829.37999999989</v>
      </c>
      <c r="AQ26" s="42">
        <f t="shared" si="35"/>
        <v>51.610172885969959</v>
      </c>
      <c r="AR26" s="12"/>
      <c r="AS26" s="12"/>
      <c r="AT26" s="31"/>
      <c r="AU26" s="108" t="s">
        <v>98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73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229621.01</v>
      </c>
      <c r="W27" s="13"/>
      <c r="X27" s="13"/>
      <c r="Y27" s="12">
        <f t="shared" si="51"/>
        <v>229621.01</v>
      </c>
      <c r="Z27" s="12">
        <f t="shared" si="51"/>
        <v>100490</v>
      </c>
      <c r="AA27" s="12">
        <f t="shared" si="51"/>
        <v>549832.26</v>
      </c>
      <c r="AB27" s="12">
        <f t="shared" si="51"/>
        <v>228771.11000000002</v>
      </c>
      <c r="AC27" s="12">
        <f>AC28</f>
        <v>23363.1</v>
      </c>
      <c r="AD27" s="12">
        <f>AD28</f>
        <v>28503.07</v>
      </c>
      <c r="AE27" s="12">
        <v>282514.36</v>
      </c>
      <c r="AF27" s="12">
        <f t="shared" ref="AF27" si="52">AF28</f>
        <v>311017.43</v>
      </c>
      <c r="AG27" s="12">
        <f t="shared" si="10"/>
        <v>5139.9700000000012</v>
      </c>
      <c r="AH27" s="44">
        <f t="shared" si="4"/>
        <v>210527.43</v>
      </c>
      <c r="AI27" s="44">
        <f t="shared" si="5"/>
        <v>309.50087570902576</v>
      </c>
      <c r="AJ27" s="12">
        <f t="shared" si="11"/>
        <v>-238814.83000000002</v>
      </c>
      <c r="AK27" s="44">
        <f t="shared" si="18"/>
        <v>56.565875199829122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82246.319999999978</v>
      </c>
      <c r="AO27" s="44">
        <f t="shared" si="13"/>
        <v>135.95135766924415</v>
      </c>
      <c r="AP27" s="12">
        <f t="shared" si="14"/>
        <v>81396.419999999984</v>
      </c>
      <c r="AQ27" s="44">
        <f t="shared" si="35"/>
        <v>135.44815868547914</v>
      </c>
      <c r="AR27" s="12">
        <f>AF27-M27</f>
        <v>-22708.410000000033</v>
      </c>
      <c r="AS27" s="12">
        <f>IF(M27=0,0,AF27/M27*100)</f>
        <v>93.195489447266041</v>
      </c>
      <c r="AT27" s="31">
        <f>AF27</f>
        <v>311017.43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86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84549.99+145071.02</f>
        <v>229621.01</v>
      </c>
      <c r="W28" s="16"/>
      <c r="X28" s="16"/>
      <c r="Y28" s="16">
        <f>V28</f>
        <v>229621.01</v>
      </c>
      <c r="Z28" s="16">
        <v>100490</v>
      </c>
      <c r="AA28" s="16">
        <f>109952.06+439880.2</f>
        <v>549832.26</v>
      </c>
      <c r="AB28" s="16">
        <f>55377.79+173393.32</f>
        <v>228771.11000000002</v>
      </c>
      <c r="AC28" s="13">
        <f>11496.43+11866.67</f>
        <v>23363.1</v>
      </c>
      <c r="AD28" s="13">
        <v>28503.07</v>
      </c>
      <c r="AE28" s="13">
        <v>282514.36</v>
      </c>
      <c r="AF28" s="13">
        <f t="shared" si="23"/>
        <v>311017.43</v>
      </c>
      <c r="AG28" s="13">
        <f>AD28-AC28</f>
        <v>5139.9700000000012</v>
      </c>
      <c r="AH28" s="44">
        <f t="shared" si="4"/>
        <v>210527.43</v>
      </c>
      <c r="AI28" s="44">
        <f t="shared" si="5"/>
        <v>309.50087570902576</v>
      </c>
      <c r="AJ28" s="13">
        <f t="shared" si="11"/>
        <v>-238814.83000000002</v>
      </c>
      <c r="AK28" s="42">
        <f t="shared" si="18"/>
        <v>56.565875199829122</v>
      </c>
      <c r="AL28" s="16"/>
      <c r="AM28" s="16"/>
      <c r="AN28" s="42">
        <f t="shared" si="12"/>
        <v>82246.319999999978</v>
      </c>
      <c r="AO28" s="42">
        <f t="shared" si="13"/>
        <v>135.95135766924415</v>
      </c>
      <c r="AP28" s="13">
        <f t="shared" si="14"/>
        <v>81396.419999999984</v>
      </c>
      <c r="AQ28" s="42">
        <f t="shared" si="35"/>
        <v>135.44815868547914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40" t="s">
        <v>16</v>
      </c>
      <c r="C29" s="140"/>
      <c r="D29" s="140"/>
      <c r="E29" s="140"/>
      <c r="F29" s="140"/>
      <c r="G29" s="140"/>
      <c r="H29" s="140"/>
      <c r="I29" s="140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0</v>
      </c>
      <c r="W29" s="12"/>
      <c r="X29" s="12">
        <f t="shared" si="54"/>
        <v>0</v>
      </c>
      <c r="Y29" s="12">
        <f>Y30</f>
        <v>0</v>
      </c>
      <c r="Z29" s="12">
        <f t="shared" si="53"/>
        <v>0</v>
      </c>
      <c r="AA29" s="12">
        <f t="shared" si="53"/>
        <v>60000</v>
      </c>
      <c r="AB29" s="12">
        <f t="shared" si="53"/>
        <v>60000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8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-60000</v>
      </c>
      <c r="AO29" s="44">
        <v>0</v>
      </c>
      <c r="AP29" s="12">
        <f t="shared" si="14"/>
        <v>0</v>
      </c>
      <c r="AQ29" s="44">
        <v>0</v>
      </c>
      <c r="AR29" s="12">
        <f t="shared" ref="AR29:AR38" si="55">AF29-M29</f>
        <v>-13500</v>
      </c>
      <c r="AS29" s="12">
        <f t="shared" ref="AS29:AS38" si="56">IF(M29=0,0,AF29/M29*100)</f>
        <v>0</v>
      </c>
      <c r="AT29" s="34">
        <f t="shared" ref="AT29" si="57">AT30</f>
        <v>0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0</v>
      </c>
      <c r="AF30" s="13">
        <f t="shared" si="23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8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-60000</v>
      </c>
      <c r="AO30" s="42">
        <v>0</v>
      </c>
      <c r="AP30" s="13">
        <f t="shared" si="14"/>
        <v>0</v>
      </c>
      <c r="AQ30" s="42">
        <v>0</v>
      </c>
      <c r="AR30" s="12">
        <f t="shared" si="55"/>
        <v>-13500</v>
      </c>
      <c r="AS30" s="12">
        <f t="shared" si="56"/>
        <v>0</v>
      </c>
      <c r="AT30" s="31">
        <f>AF30</f>
        <v>0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78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168693.99</v>
      </c>
      <c r="W31" s="12">
        <f t="shared" si="60"/>
        <v>0</v>
      </c>
      <c r="X31" s="12">
        <f t="shared" si="60"/>
        <v>0</v>
      </c>
      <c r="Y31" s="12">
        <f t="shared" si="60"/>
        <v>168693.99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" si="62">AB32+AB33+AB34+AB35</f>
        <v>251687.48</v>
      </c>
      <c r="AC31" s="12">
        <f t="shared" ref="AC31:AD31" si="63">AC32+AC33+AC34+AC35</f>
        <v>12774.94</v>
      </c>
      <c r="AD31" s="12">
        <f t="shared" si="63"/>
        <v>7848.18</v>
      </c>
      <c r="AE31" s="12">
        <v>197206.03</v>
      </c>
      <c r="AF31" s="12">
        <f t="shared" ref="AF31" si="64">AF32+AF33+AF34+AF35</f>
        <v>205054.21</v>
      </c>
      <c r="AG31" s="12">
        <f t="shared" si="10"/>
        <v>-4926.76</v>
      </c>
      <c r="AH31" s="44">
        <f t="shared" si="4"/>
        <v>157054.21</v>
      </c>
      <c r="AI31" s="44">
        <v>0</v>
      </c>
      <c r="AJ31" s="12">
        <f t="shared" si="11"/>
        <v>-518935.79000000004</v>
      </c>
      <c r="AK31" s="44">
        <f t="shared" si="18"/>
        <v>28.322795894970927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-46633.270000000019</v>
      </c>
      <c r="AO31" s="44">
        <f t="shared" si="13"/>
        <v>81.471756163635945</v>
      </c>
      <c r="AP31" s="12">
        <f t="shared" si="14"/>
        <v>36360.22</v>
      </c>
      <c r="AQ31" s="44">
        <f t="shared" si="35"/>
        <v>121.5539510328732</v>
      </c>
      <c r="AR31" s="12">
        <f t="shared" si="55"/>
        <v>181958.66999999998</v>
      </c>
      <c r="AS31" s="12">
        <f t="shared" si="56"/>
        <v>887.85198354314298</v>
      </c>
      <c r="AT31" s="34">
        <f t="shared" ref="AT31" si="65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87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159882.25</v>
      </c>
      <c r="W32" s="13"/>
      <c r="X32" s="13"/>
      <c r="Y32" s="13">
        <f>V32</f>
        <v>159882.25</v>
      </c>
      <c r="Z32" s="13"/>
      <c r="AA32" s="13">
        <v>649240</v>
      </c>
      <c r="AB32" s="13">
        <v>222000</v>
      </c>
      <c r="AC32" s="114">
        <f>8604.87</f>
        <v>8604.8700000000008</v>
      </c>
      <c r="AD32" s="114">
        <f>2000+65</f>
        <v>2065</v>
      </c>
      <c r="AE32" s="13">
        <v>168890.47</v>
      </c>
      <c r="AF32" s="13">
        <f t="shared" si="23"/>
        <v>170955.47</v>
      </c>
      <c r="AG32" s="13">
        <f t="shared" si="10"/>
        <v>-6539.8700000000008</v>
      </c>
      <c r="AH32" s="44"/>
      <c r="AI32" s="44"/>
      <c r="AJ32" s="13">
        <f t="shared" si="11"/>
        <v>-478284.53</v>
      </c>
      <c r="AK32" s="42">
        <f t="shared" si="18"/>
        <v>26.331629289630953</v>
      </c>
      <c r="AL32" s="12"/>
      <c r="AM32" s="12"/>
      <c r="AN32" s="42">
        <f t="shared" si="12"/>
        <v>-51044.53</v>
      </c>
      <c r="AO32" s="42">
        <f t="shared" si="13"/>
        <v>77.006968468468472</v>
      </c>
      <c r="AP32" s="13">
        <f t="shared" si="14"/>
        <v>11073.220000000001</v>
      </c>
      <c r="AQ32" s="42">
        <f t="shared" si="35"/>
        <v>106.92585949972558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88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3348.11</v>
      </c>
      <c r="W33" s="13"/>
      <c r="X33" s="13"/>
      <c r="Y33" s="13">
        <f t="shared" ref="Y33:Y35" si="66">V33</f>
        <v>3348.11</v>
      </c>
      <c r="Z33" s="13"/>
      <c r="AA33" s="13">
        <v>74750</v>
      </c>
      <c r="AB33" s="13">
        <v>0</v>
      </c>
      <c r="AC33" s="114">
        <f>4170.07</f>
        <v>4170.07</v>
      </c>
      <c r="AD33" s="114">
        <v>5783.18</v>
      </c>
      <c r="AE33" s="13">
        <v>6506.5599999999995</v>
      </c>
      <c r="AF33" s="13">
        <f t="shared" si="23"/>
        <v>12289.74</v>
      </c>
      <c r="AG33" s="13">
        <f t="shared" si="10"/>
        <v>1613.1100000000006</v>
      </c>
      <c r="AH33" s="44"/>
      <c r="AI33" s="44"/>
      <c r="AJ33" s="13">
        <f t="shared" si="11"/>
        <v>-62460.26</v>
      </c>
      <c r="AK33" s="42">
        <f t="shared" si="18"/>
        <v>16.441123745819397</v>
      </c>
      <c r="AL33" s="12"/>
      <c r="AM33" s="12"/>
      <c r="AN33" s="42">
        <f t="shared" si="12"/>
        <v>12289.74</v>
      </c>
      <c r="AO33" s="42">
        <v>0</v>
      </c>
      <c r="AP33" s="13">
        <f t="shared" si="14"/>
        <v>8941.6299999999992</v>
      </c>
      <c r="AQ33" s="42">
        <f t="shared" si="35"/>
        <v>367.06500085122656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89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6"/>
        <v>0</v>
      </c>
      <c r="Z34" s="13"/>
      <c r="AA34" s="13">
        <v>0</v>
      </c>
      <c r="AB34" s="13">
        <v>29687.48</v>
      </c>
      <c r="AC34" s="114">
        <v>0</v>
      </c>
      <c r="AD34" s="114">
        <v>0</v>
      </c>
      <c r="AE34" s="13">
        <v>21809</v>
      </c>
      <c r="AF34" s="13">
        <f t="shared" si="23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42">
        <v>0</v>
      </c>
      <c r="AL34" s="12"/>
      <c r="AM34" s="12"/>
      <c r="AN34" s="42">
        <f t="shared" si="12"/>
        <v>-7878.48</v>
      </c>
      <c r="AO34" s="42">
        <f t="shared" si="13"/>
        <v>73.461944226994007</v>
      </c>
      <c r="AP34" s="13">
        <f t="shared" si="14"/>
        <v>21809</v>
      </c>
      <c r="AQ34" s="42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90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5463.63</v>
      </c>
      <c r="W35" s="13"/>
      <c r="X35" s="13"/>
      <c r="Y35" s="13">
        <f t="shared" si="66"/>
        <v>5463.63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-5463.63</v>
      </c>
      <c r="AQ35" s="42">
        <f t="shared" si="35"/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hidden="1" customHeight="1" x14ac:dyDescent="0.3">
      <c r="A36" s="9"/>
      <c r="B36" s="124" t="s">
        <v>14</v>
      </c>
      <c r="C36" s="124"/>
      <c r="D36" s="124"/>
      <c r="E36" s="124"/>
      <c r="F36" s="124"/>
      <c r="G36" s="124"/>
      <c r="H36" s="124"/>
      <c r="I36" s="124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273322.02</v>
      </c>
      <c r="W36" s="12"/>
      <c r="X36" s="12"/>
      <c r="Y36" s="12">
        <f>V36</f>
        <v>273322.02</v>
      </c>
      <c r="Z36" s="12">
        <v>763440</v>
      </c>
      <c r="AA36" s="12">
        <v>447000</v>
      </c>
      <c r="AB36" s="12">
        <v>312327</v>
      </c>
      <c r="AC36" s="12">
        <f>1710.42+301.78+403.61+479703.89</f>
        <v>482119.7</v>
      </c>
      <c r="AD36" s="12">
        <f>119289.4+1.54</f>
        <v>119290.93999999999</v>
      </c>
      <c r="AE36" s="12">
        <v>792037.44</v>
      </c>
      <c r="AF36" s="12">
        <f t="shared" si="23"/>
        <v>911328.37999999989</v>
      </c>
      <c r="AG36" s="12">
        <f t="shared" si="10"/>
        <v>-362828.76</v>
      </c>
      <c r="AH36" s="44">
        <f t="shared" si="4"/>
        <v>147888.37999999989</v>
      </c>
      <c r="AI36" s="44">
        <v>0</v>
      </c>
      <c r="AJ36" s="12">
        <f t="shared" si="11"/>
        <v>464328.37999999989</v>
      </c>
      <c r="AK36" s="44">
        <f t="shared" si="18"/>
        <v>203.87659507829974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599001.37999999989</v>
      </c>
      <c r="AO36" s="44">
        <f t="shared" si="13"/>
        <v>291.7866146698812</v>
      </c>
      <c r="AP36" s="12">
        <f t="shared" si="14"/>
        <v>638006.35999999987</v>
      </c>
      <c r="AQ36" s="44">
        <f t="shared" si="35"/>
        <v>333.42662256045077</v>
      </c>
      <c r="AR36" s="12">
        <f t="shared" si="55"/>
        <v>969102.73999999987</v>
      </c>
      <c r="AS36" s="12">
        <f t="shared" si="56"/>
        <v>-1577.3924280597828</v>
      </c>
      <c r="AT36" s="34">
        <v>745000</v>
      </c>
    </row>
    <row r="37" spans="1:47" s="10" customFormat="1" ht="57.75" hidden="1" customHeight="1" x14ac:dyDescent="0.3">
      <c r="A37" s="9"/>
      <c r="B37" s="124" t="s">
        <v>13</v>
      </c>
      <c r="C37" s="124"/>
      <c r="D37" s="124"/>
      <c r="E37" s="124"/>
      <c r="F37" s="124"/>
      <c r="G37" s="124"/>
      <c r="H37" s="124"/>
      <c r="I37" s="124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6822048.2000000011</v>
      </c>
      <c r="W37" s="12"/>
      <c r="X37" s="12">
        <f t="shared" si="69"/>
        <v>0</v>
      </c>
      <c r="Y37" s="12">
        <f t="shared" si="69"/>
        <v>6822048.2000000011</v>
      </c>
      <c r="Z37" s="12">
        <f>Z38+Z44</f>
        <v>25090600</v>
      </c>
      <c r="AA37" s="12">
        <f>AA38+AA44</f>
        <v>29480458</v>
      </c>
      <c r="AB37" s="12">
        <f>AB38+AB44</f>
        <v>8915288.8200000003</v>
      </c>
      <c r="AC37" s="12">
        <f t="shared" ref="AC37:AD37" si="70">AC38+AC44</f>
        <v>760069.12</v>
      </c>
      <c r="AD37" s="12">
        <f t="shared" si="70"/>
        <v>1148895.6400000001</v>
      </c>
      <c r="AE37" s="12">
        <v>6633992.8500000006</v>
      </c>
      <c r="AF37" s="12">
        <f>AF38+AF44</f>
        <v>7782888.4900000002</v>
      </c>
      <c r="AG37" s="12">
        <f t="shared" si="10"/>
        <v>388826.52000000014</v>
      </c>
      <c r="AH37" s="44">
        <f t="shared" si="4"/>
        <v>-17307711.509999998</v>
      </c>
      <c r="AI37" s="44">
        <v>0</v>
      </c>
      <c r="AJ37" s="12">
        <f t="shared" si="11"/>
        <v>-21697569.509999998</v>
      </c>
      <c r="AK37" s="44">
        <f t="shared" si="18"/>
        <v>26.400161388266085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-1132400.33</v>
      </c>
      <c r="AO37" s="44">
        <f t="shared" si="13"/>
        <v>87.298220474252673</v>
      </c>
      <c r="AP37" s="12">
        <f t="shared" si="14"/>
        <v>960840.28999999911</v>
      </c>
      <c r="AQ37" s="44">
        <f t="shared" si="35"/>
        <v>114.08433745748086</v>
      </c>
      <c r="AR37" s="12">
        <f t="shared" si="55"/>
        <v>-2713242.9700000007</v>
      </c>
      <c r="AS37" s="12">
        <f t="shared" si="56"/>
        <v>74.150066809471909</v>
      </c>
      <c r="AT37" s="34">
        <f t="shared" ref="AT37" si="71">AT38+AT44</f>
        <v>7782888.4900000002</v>
      </c>
    </row>
    <row r="38" spans="1:47" s="5" customFormat="1" ht="39" hidden="1" customHeight="1" x14ac:dyDescent="0.3">
      <c r="A38" s="4"/>
      <c r="B38" s="141" t="s">
        <v>60</v>
      </c>
      <c r="C38" s="141"/>
      <c r="D38" s="141"/>
      <c r="E38" s="141"/>
      <c r="F38" s="141"/>
      <c r="G38" s="141"/>
      <c r="H38" s="141"/>
      <c r="I38" s="141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2">S39+S40+S43+S41+S42</f>
        <v>34618925.310000002</v>
      </c>
      <c r="T38" s="13">
        <f t="shared" si="72"/>
        <v>35367638.399999999</v>
      </c>
      <c r="U38" s="13">
        <f>U39+U40+U43</f>
        <v>33924709.399999999</v>
      </c>
      <c r="V38" s="13">
        <f t="shared" ref="V38:AB38" si="73">V39+V40+V43+V41+V42</f>
        <v>6749470.0100000007</v>
      </c>
      <c r="W38" s="13"/>
      <c r="X38" s="13">
        <f t="shared" si="73"/>
        <v>0</v>
      </c>
      <c r="Y38" s="13">
        <f t="shared" si="73"/>
        <v>6749470.0100000007</v>
      </c>
      <c r="Z38" s="13">
        <f t="shared" si="73"/>
        <v>25090600</v>
      </c>
      <c r="AA38" s="13">
        <f t="shared" si="73"/>
        <v>29480458</v>
      </c>
      <c r="AB38" s="13">
        <f t="shared" si="73"/>
        <v>8915288.8200000003</v>
      </c>
      <c r="AC38" s="13">
        <f t="shared" ref="AC38:AD38" si="74">AC39+AC40+AC43+AC41+AC42</f>
        <v>760069.12</v>
      </c>
      <c r="AD38" s="13">
        <f t="shared" si="74"/>
        <v>1148895.6400000001</v>
      </c>
      <c r="AE38" s="13">
        <v>6633992.8500000006</v>
      </c>
      <c r="AF38" s="13">
        <f>AF39+AF40+AF43+AF41+AF42</f>
        <v>7782888.4900000002</v>
      </c>
      <c r="AG38" s="13">
        <f t="shared" si="10"/>
        <v>388826.52000000014</v>
      </c>
      <c r="AH38" s="44">
        <f t="shared" si="4"/>
        <v>-17307711.509999998</v>
      </c>
      <c r="AI38" s="44">
        <v>0</v>
      </c>
      <c r="AJ38" s="12">
        <f t="shared" si="11"/>
        <v>-21697569.509999998</v>
      </c>
      <c r="AK38" s="42">
        <f t="shared" si="18"/>
        <v>26.400161388266085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-1132400.33</v>
      </c>
      <c r="AO38" s="42">
        <f t="shared" si="13"/>
        <v>87.298220474252673</v>
      </c>
      <c r="AP38" s="13">
        <f t="shared" si="14"/>
        <v>1033418.4799999995</v>
      </c>
      <c r="AQ38" s="42">
        <f t="shared" si="35"/>
        <v>115.31110559005209</v>
      </c>
      <c r="AR38" s="12">
        <f t="shared" si="55"/>
        <v>-2088795.4900000002</v>
      </c>
      <c r="AS38" s="12">
        <f t="shared" si="56"/>
        <v>78.840535270052271</v>
      </c>
      <c r="AT38" s="31">
        <f>AF38</f>
        <v>7782888.4900000002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91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97054.98</v>
      </c>
      <c r="W39" s="31"/>
      <c r="X39" s="31"/>
      <c r="Y39" s="31">
        <f>V39</f>
        <v>97054.98</v>
      </c>
      <c r="Z39" s="31">
        <v>360000</v>
      </c>
      <c r="AA39" s="31">
        <v>380458</v>
      </c>
      <c r="AB39" s="31">
        <v>71000</v>
      </c>
      <c r="AC39" s="31">
        <f>235+455</f>
        <v>690</v>
      </c>
      <c r="AD39" s="31">
        <f>3930+3665</f>
        <v>7595</v>
      </c>
      <c r="AE39" s="31">
        <v>61686</v>
      </c>
      <c r="AF39" s="31">
        <f t="shared" si="23"/>
        <v>69281</v>
      </c>
      <c r="AG39" s="31">
        <f t="shared" si="10"/>
        <v>6905</v>
      </c>
      <c r="AH39" s="103">
        <f t="shared" si="4"/>
        <v>-290719</v>
      </c>
      <c r="AI39" s="103">
        <f>AF39/Z39*100</f>
        <v>19.244722222222222</v>
      </c>
      <c r="AJ39" s="31">
        <f t="shared" si="11"/>
        <v>-311177</v>
      </c>
      <c r="AK39" s="103">
        <f t="shared" si="18"/>
        <v>18.2098943904452</v>
      </c>
      <c r="AL39" s="31"/>
      <c r="AM39" s="31"/>
      <c r="AN39" s="103">
        <f t="shared" si="12"/>
        <v>-1719</v>
      </c>
      <c r="AO39" s="103">
        <f t="shared" si="13"/>
        <v>97.578873239436618</v>
      </c>
      <c r="AP39" s="31">
        <f t="shared" si="14"/>
        <v>-27773.979999999996</v>
      </c>
      <c r="AQ39" s="103">
        <f t="shared" si="35"/>
        <v>71.383251019164604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92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5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6">T40</f>
        <v>33218079.799999997</v>
      </c>
      <c r="V40" s="31">
        <v>6322812.0300000003</v>
      </c>
      <c r="W40" s="31"/>
      <c r="X40" s="31"/>
      <c r="Y40" s="31">
        <f>V40</f>
        <v>6322812.0300000003</v>
      </c>
      <c r="Z40" s="31">
        <v>22830600</v>
      </c>
      <c r="AA40" s="31">
        <v>27500000</v>
      </c>
      <c r="AB40" s="31">
        <v>8589000</v>
      </c>
      <c r="AC40" s="31">
        <f>279022.24+453106.88</f>
        <v>732129.12</v>
      </c>
      <c r="AD40" s="31">
        <f>855719.35+171751.29</f>
        <v>1027470.64</v>
      </c>
      <c r="AE40" s="31">
        <v>6173936.8500000006</v>
      </c>
      <c r="AF40" s="31">
        <f t="shared" si="23"/>
        <v>7201407.4900000002</v>
      </c>
      <c r="AG40" s="31">
        <f t="shared" si="10"/>
        <v>295341.52</v>
      </c>
      <c r="AH40" s="103">
        <f t="shared" si="4"/>
        <v>-15629192.51</v>
      </c>
      <c r="AI40" s="103">
        <f>AF40/Z40*100</f>
        <v>31.542786829956288</v>
      </c>
      <c r="AJ40" s="31">
        <f t="shared" si="11"/>
        <v>-20298592.509999998</v>
      </c>
      <c r="AK40" s="103">
        <f t="shared" si="18"/>
        <v>26.186936327272729</v>
      </c>
      <c r="AL40" s="31"/>
      <c r="AM40" s="31"/>
      <c r="AN40" s="103">
        <f t="shared" si="12"/>
        <v>-1387592.5099999998</v>
      </c>
      <c r="AO40" s="103">
        <f t="shared" si="13"/>
        <v>83.844539410874376</v>
      </c>
      <c r="AP40" s="31">
        <f t="shared" si="14"/>
        <v>878595.46</v>
      </c>
      <c r="AQ40" s="103">
        <f t="shared" si="35"/>
        <v>113.89564415059797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93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325483</v>
      </c>
      <c r="W41" s="31"/>
      <c r="X41" s="31"/>
      <c r="Y41" s="31">
        <f t="shared" ref="Y41:Y42" si="77">V41</f>
        <v>325483</v>
      </c>
      <c r="Z41" s="31">
        <v>1400000</v>
      </c>
      <c r="AA41" s="31">
        <v>1400000</v>
      </c>
      <c r="AB41" s="31">
        <v>185288.82</v>
      </c>
      <c r="AC41" s="31">
        <f>17650+9600</f>
        <v>27250</v>
      </c>
      <c r="AD41" s="31">
        <f>31320+8310</f>
        <v>39630</v>
      </c>
      <c r="AE41" s="31">
        <v>393870</v>
      </c>
      <c r="AF41" s="31">
        <f t="shared" si="23"/>
        <v>433500</v>
      </c>
      <c r="AG41" s="31">
        <f t="shared" si="10"/>
        <v>12380</v>
      </c>
      <c r="AH41" s="103">
        <f t="shared" si="4"/>
        <v>-966500</v>
      </c>
      <c r="AI41" s="103">
        <f t="shared" ref="AI41:AI42" si="78">AF41/Z41*100</f>
        <v>30.964285714285715</v>
      </c>
      <c r="AJ41" s="31">
        <f t="shared" si="11"/>
        <v>-966500</v>
      </c>
      <c r="AK41" s="103">
        <f t="shared" si="18"/>
        <v>30.964285714285715</v>
      </c>
      <c r="AL41" s="31"/>
      <c r="AM41" s="31"/>
      <c r="AN41" s="103">
        <f t="shared" si="12"/>
        <v>248211.18</v>
      </c>
      <c r="AO41" s="103">
        <f t="shared" si="13"/>
        <v>233.95906995360002</v>
      </c>
      <c r="AP41" s="31">
        <f t="shared" si="14"/>
        <v>108017</v>
      </c>
      <c r="AQ41" s="103">
        <f t="shared" si="35"/>
        <v>133.18667948863688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94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7"/>
        <v>0</v>
      </c>
      <c r="Z42" s="31">
        <v>500000</v>
      </c>
      <c r="AA42" s="31">
        <v>200000</v>
      </c>
      <c r="AB42" s="31">
        <v>70000</v>
      </c>
      <c r="AC42" s="31">
        <v>0</v>
      </c>
      <c r="AD42" s="31">
        <v>72700</v>
      </c>
      <c r="AE42" s="31">
        <v>0</v>
      </c>
      <c r="AF42" s="31">
        <f t="shared" si="23"/>
        <v>72700</v>
      </c>
      <c r="AG42" s="31">
        <f t="shared" si="10"/>
        <v>72700</v>
      </c>
      <c r="AH42" s="103">
        <f t="shared" si="4"/>
        <v>-427300</v>
      </c>
      <c r="AI42" s="103">
        <f t="shared" si="78"/>
        <v>14.540000000000001</v>
      </c>
      <c r="AJ42" s="31">
        <f t="shared" si="11"/>
        <v>-127300</v>
      </c>
      <c r="AK42" s="103">
        <f t="shared" si="18"/>
        <v>36.35</v>
      </c>
      <c r="AL42" s="31"/>
      <c r="AM42" s="31"/>
      <c r="AN42" s="103">
        <f t="shared" si="12"/>
        <v>2700</v>
      </c>
      <c r="AO42" s="103">
        <f t="shared" si="13"/>
        <v>103.85714285714285</v>
      </c>
      <c r="AP42" s="31">
        <f t="shared" si="14"/>
        <v>72700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95</v>
      </c>
      <c r="J43" s="31"/>
      <c r="K43" s="31"/>
      <c r="L43" s="31"/>
      <c r="M43" s="31"/>
      <c r="N43" s="31"/>
      <c r="O43" s="31">
        <v>0</v>
      </c>
      <c r="P43" s="31">
        <f t="shared" si="75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6"/>
        <v>68665.72</v>
      </c>
      <c r="V43" s="31">
        <v>4120</v>
      </c>
      <c r="W43" s="31"/>
      <c r="X43" s="31"/>
      <c r="Y43" s="31">
        <f>V43</f>
        <v>4120</v>
      </c>
      <c r="Z43" s="31">
        <v>0</v>
      </c>
      <c r="AA43" s="31">
        <v>0</v>
      </c>
      <c r="AB43" s="31">
        <v>0</v>
      </c>
      <c r="AC43" s="31">
        <v>0</v>
      </c>
      <c r="AD43" s="31">
        <v>1500</v>
      </c>
      <c r="AE43" s="31">
        <v>4500</v>
      </c>
      <c r="AF43" s="31">
        <f t="shared" si="23"/>
        <v>6000</v>
      </c>
      <c r="AG43" s="31">
        <f t="shared" si="10"/>
        <v>1500</v>
      </c>
      <c r="AH43" s="103">
        <f t="shared" si="4"/>
        <v>6000</v>
      </c>
      <c r="AI43" s="103">
        <v>0</v>
      </c>
      <c r="AJ43" s="31">
        <f t="shared" si="11"/>
        <v>6000</v>
      </c>
      <c r="AK43" s="103">
        <v>100</v>
      </c>
      <c r="AL43" s="31"/>
      <c r="AM43" s="31"/>
      <c r="AN43" s="103">
        <f t="shared" si="12"/>
        <v>6000</v>
      </c>
      <c r="AO43" s="103">
        <v>0</v>
      </c>
      <c r="AP43" s="31">
        <f t="shared" si="14"/>
        <v>1880</v>
      </c>
      <c r="AQ43" s="103">
        <f t="shared" si="35"/>
        <v>145.63106796116503</v>
      </c>
      <c r="AR43" s="12"/>
      <c r="AS43" s="12"/>
      <c r="AT43" s="31"/>
    </row>
    <row r="44" spans="1:47" s="5" customFormat="1" ht="28.5" hidden="1" customHeight="1" x14ac:dyDescent="0.3">
      <c r="A44" s="4"/>
      <c r="B44" s="141" t="s">
        <v>12</v>
      </c>
      <c r="C44" s="141"/>
      <c r="D44" s="141"/>
      <c r="E44" s="141"/>
      <c r="F44" s="141"/>
      <c r="G44" s="141"/>
      <c r="H44" s="141"/>
      <c r="I44" s="141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72578.19</v>
      </c>
      <c r="W44" s="13"/>
      <c r="X44" s="13"/>
      <c r="Y44" s="13">
        <f>V44</f>
        <v>72578.19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f t="shared" si="23"/>
        <v>0</v>
      </c>
      <c r="AG44" s="13">
        <f t="shared" si="10"/>
        <v>0</v>
      </c>
      <c r="AH44" s="44">
        <f t="shared" si="4"/>
        <v>0</v>
      </c>
      <c r="AI44" s="44">
        <v>0</v>
      </c>
      <c r="AJ44" s="13">
        <f t="shared" si="11"/>
        <v>0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0</v>
      </c>
      <c r="AO44" s="115">
        <v>0</v>
      </c>
      <c r="AP44" s="13">
        <f t="shared" si="14"/>
        <v>-72578.19</v>
      </c>
      <c r="AQ44" s="115">
        <f t="shared" si="35"/>
        <v>0</v>
      </c>
      <c r="AR44" s="12">
        <f t="shared" ref="AR44:AR59" si="79">AF44-M44</f>
        <v>-624447.48</v>
      </c>
      <c r="AS44" s="12">
        <f t="shared" ref="AS44:AS59" si="80">IF(M44=0,0,AF44/M44*100)</f>
        <v>0</v>
      </c>
      <c r="AT44" s="31">
        <f>AF44</f>
        <v>0</v>
      </c>
    </row>
    <row r="45" spans="1:47" s="10" customFormat="1" ht="60" hidden="1" customHeight="1" x14ac:dyDescent="0.3">
      <c r="A45" s="9"/>
      <c r="B45" s="124" t="s">
        <v>11</v>
      </c>
      <c r="C45" s="124"/>
      <c r="D45" s="124"/>
      <c r="E45" s="124"/>
      <c r="F45" s="124"/>
      <c r="G45" s="124"/>
      <c r="H45" s="124"/>
      <c r="I45" s="124"/>
      <c r="J45" s="12">
        <f t="shared" ref="J45:AF45" si="81">J46+J47</f>
        <v>4290634.29</v>
      </c>
      <c r="K45" s="12">
        <f t="shared" si="81"/>
        <v>4290634.29</v>
      </c>
      <c r="L45" s="12">
        <f t="shared" si="81"/>
        <v>3198289.13</v>
      </c>
      <c r="M45" s="12">
        <f t="shared" si="81"/>
        <v>3198289.13</v>
      </c>
      <c r="N45" s="12">
        <f t="shared" si="81"/>
        <v>3516712.9</v>
      </c>
      <c r="O45" s="12">
        <f t="shared" si="81"/>
        <v>4112775.06</v>
      </c>
      <c r="P45" s="12">
        <f t="shared" si="81"/>
        <v>4112775.06</v>
      </c>
      <c r="Q45" s="12">
        <v>4112775.06</v>
      </c>
      <c r="R45" s="12">
        <f t="shared" si="81"/>
        <v>4112775.06</v>
      </c>
      <c r="S45" s="12">
        <f t="shared" si="81"/>
        <v>1171237.6000000001</v>
      </c>
      <c r="T45" s="12">
        <f t="shared" si="81"/>
        <v>2218931.5799999996</v>
      </c>
      <c r="U45" s="12">
        <f t="shared" si="81"/>
        <v>2218931.5799999996</v>
      </c>
      <c r="V45" s="12">
        <f t="shared" si="81"/>
        <v>313467.44</v>
      </c>
      <c r="W45" s="12"/>
      <c r="X45" s="12">
        <f t="shared" si="81"/>
        <v>0</v>
      </c>
      <c r="Y45" s="12">
        <f t="shared" si="81"/>
        <v>313467.44</v>
      </c>
      <c r="Z45" s="12">
        <f t="shared" si="81"/>
        <v>132000</v>
      </c>
      <c r="AA45" s="12">
        <f t="shared" si="81"/>
        <v>132000</v>
      </c>
      <c r="AB45" s="12">
        <f t="shared" si="81"/>
        <v>132000</v>
      </c>
      <c r="AC45" s="12">
        <f t="shared" ref="AC45:AD45" si="82">AC46+AC47</f>
        <v>0</v>
      </c>
      <c r="AD45" s="12">
        <f t="shared" si="82"/>
        <v>0</v>
      </c>
      <c r="AE45" s="12">
        <v>391172.12</v>
      </c>
      <c r="AF45" s="12">
        <f t="shared" si="81"/>
        <v>391172.12</v>
      </c>
      <c r="AG45" s="12">
        <f t="shared" si="10"/>
        <v>0</v>
      </c>
      <c r="AH45" s="44">
        <f t="shared" si="4"/>
        <v>259172.12</v>
      </c>
      <c r="AI45" s="44">
        <f t="shared" ref="AI45:AI58" si="83">AF45/Z45*100</f>
        <v>296.34251515151516</v>
      </c>
      <c r="AJ45" s="12">
        <f t="shared" si="11"/>
        <v>259172.12</v>
      </c>
      <c r="AK45" s="44">
        <f t="shared" si="18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259172.12</v>
      </c>
      <c r="AO45" s="44">
        <v>0</v>
      </c>
      <c r="AP45" s="12">
        <f t="shared" si="14"/>
        <v>77704.679999999993</v>
      </c>
      <c r="AQ45" s="44">
        <f t="shared" si="35"/>
        <v>124.78875636972057</v>
      </c>
      <c r="AR45" s="12">
        <f t="shared" si="79"/>
        <v>-2807117.01</v>
      </c>
      <c r="AS45" s="12">
        <f t="shared" si="80"/>
        <v>12.230667838338931</v>
      </c>
      <c r="AT45" s="34">
        <f t="shared" ref="AT45" si="84">AT46+AT47</f>
        <v>391172.12</v>
      </c>
    </row>
    <row r="46" spans="1:47" s="5" customFormat="1" ht="63" hidden="1" customHeight="1" x14ac:dyDescent="0.3">
      <c r="A46" s="4"/>
      <c r="B46" s="141" t="s">
        <v>37</v>
      </c>
      <c r="C46" s="141"/>
      <c r="D46" s="141"/>
      <c r="E46" s="141"/>
      <c r="F46" s="141"/>
      <c r="G46" s="141"/>
      <c r="H46" s="141"/>
      <c r="I46" s="141"/>
      <c r="J46" s="13">
        <v>163530</v>
      </c>
      <c r="K46" s="13">
        <f t="shared" ref="K46:K49" si="85">J46</f>
        <v>163530</v>
      </c>
      <c r="L46" s="13">
        <v>0</v>
      </c>
      <c r="M46" s="13">
        <f t="shared" ref="M46:M49" si="86">L46</f>
        <v>0</v>
      </c>
      <c r="N46" s="13">
        <v>762433</v>
      </c>
      <c r="O46" s="13">
        <v>763713</v>
      </c>
      <c r="P46" s="13">
        <f t="shared" ref="P46:P49" si="87">O46</f>
        <v>763713</v>
      </c>
      <c r="Q46" s="13">
        <v>763713</v>
      </c>
      <c r="R46" s="13">
        <f t="shared" ref="R46:R48" si="88">Q46</f>
        <v>763713</v>
      </c>
      <c r="S46" s="13">
        <v>5228.8</v>
      </c>
      <c r="T46" s="13">
        <v>5228.8</v>
      </c>
      <c r="U46" s="13">
        <f t="shared" ref="U46:U49" si="89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10"/>
        <v>0</v>
      </c>
      <c r="AH46" s="44">
        <f t="shared" si="4"/>
        <v>-132000</v>
      </c>
      <c r="AI46" s="44">
        <f t="shared" si="83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-5228.8</v>
      </c>
      <c r="AQ46" s="42">
        <f t="shared" si="35"/>
        <v>0</v>
      </c>
      <c r="AR46" s="12">
        <f t="shared" si="79"/>
        <v>0</v>
      </c>
      <c r="AS46" s="12">
        <f t="shared" si="80"/>
        <v>0</v>
      </c>
      <c r="AT46" s="31">
        <f>AF46</f>
        <v>0</v>
      </c>
    </row>
    <row r="47" spans="1:47" s="5" customFormat="1" ht="65.25" hidden="1" customHeight="1" x14ac:dyDescent="0.3">
      <c r="A47" s="4"/>
      <c r="B47" s="141" t="s">
        <v>10</v>
      </c>
      <c r="C47" s="141"/>
      <c r="D47" s="141"/>
      <c r="E47" s="141"/>
      <c r="F47" s="141"/>
      <c r="G47" s="141"/>
      <c r="H47" s="141"/>
      <c r="I47" s="141"/>
      <c r="J47" s="13">
        <v>4127104.29</v>
      </c>
      <c r="K47" s="13">
        <f t="shared" si="85"/>
        <v>4127104.29</v>
      </c>
      <c r="L47" s="13">
        <v>3198289.13</v>
      </c>
      <c r="M47" s="13">
        <f t="shared" si="86"/>
        <v>3198289.13</v>
      </c>
      <c r="N47" s="13">
        <v>2754279.9</v>
      </c>
      <c r="O47" s="13">
        <v>3349062.06</v>
      </c>
      <c r="P47" s="13">
        <f t="shared" si="87"/>
        <v>3349062.06</v>
      </c>
      <c r="Q47" s="13">
        <v>3349062.06</v>
      </c>
      <c r="R47" s="13">
        <f t="shared" si="88"/>
        <v>3349062.06</v>
      </c>
      <c r="S47" s="13">
        <v>1166008.8</v>
      </c>
      <c r="T47" s="13">
        <v>2213702.7799999998</v>
      </c>
      <c r="U47" s="13">
        <f t="shared" si="89"/>
        <v>2213702.7799999998</v>
      </c>
      <c r="V47" s="13">
        <v>308238.64</v>
      </c>
      <c r="W47" s="13"/>
      <c r="X47" s="13"/>
      <c r="Y47" s="13">
        <f>V47</f>
        <v>308238.64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391172.12</v>
      </c>
      <c r="AF47" s="13">
        <f t="shared" si="23"/>
        <v>391172.12</v>
      </c>
      <c r="AG47" s="13">
        <f t="shared" si="10"/>
        <v>0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259172.12</v>
      </c>
      <c r="AO47" s="42">
        <v>0</v>
      </c>
      <c r="AP47" s="13">
        <f t="shared" si="14"/>
        <v>82933.479999999981</v>
      </c>
      <c r="AQ47" s="42">
        <f t="shared" si="35"/>
        <v>126.90560794065271</v>
      </c>
      <c r="AR47" s="12">
        <f t="shared" si="79"/>
        <v>-2807117.01</v>
      </c>
      <c r="AS47" s="12">
        <f t="shared" si="80"/>
        <v>12.230667838338931</v>
      </c>
      <c r="AT47" s="31">
        <f>AF47</f>
        <v>391172.12</v>
      </c>
      <c r="AU47" s="86"/>
    </row>
    <row r="48" spans="1:47" s="10" customFormat="1" ht="39.75" hidden="1" customHeight="1" x14ac:dyDescent="0.3">
      <c r="A48" s="9"/>
      <c r="B48" s="124" t="s">
        <v>9</v>
      </c>
      <c r="C48" s="124"/>
      <c r="D48" s="124"/>
      <c r="E48" s="124"/>
      <c r="F48" s="124"/>
      <c r="G48" s="124"/>
      <c r="H48" s="124"/>
      <c r="I48" s="124"/>
      <c r="J48" s="12">
        <v>2338187.02</v>
      </c>
      <c r="K48" s="12">
        <f t="shared" si="85"/>
        <v>2338187.02</v>
      </c>
      <c r="L48" s="12">
        <v>974257.27</v>
      </c>
      <c r="M48" s="12">
        <f t="shared" si="86"/>
        <v>974257.27</v>
      </c>
      <c r="N48" s="12">
        <v>2799320.03</v>
      </c>
      <c r="O48" s="12">
        <v>3055345.14</v>
      </c>
      <c r="P48" s="12">
        <f t="shared" si="87"/>
        <v>3055345.14</v>
      </c>
      <c r="Q48" s="12">
        <v>3055345.14</v>
      </c>
      <c r="R48" s="12">
        <f t="shared" si="88"/>
        <v>3055345.14</v>
      </c>
      <c r="S48" s="12">
        <v>2239812</v>
      </c>
      <c r="T48" s="12">
        <v>2273274.8299999996</v>
      </c>
      <c r="U48" s="12">
        <f t="shared" si="89"/>
        <v>2273274.8299999996</v>
      </c>
      <c r="V48" s="12">
        <v>168703.99</v>
      </c>
      <c r="W48" s="12"/>
      <c r="X48" s="12"/>
      <c r="Y48" s="12">
        <f>V48</f>
        <v>168703.99</v>
      </c>
      <c r="Z48" s="12">
        <v>1249470</v>
      </c>
      <c r="AA48" s="12">
        <v>1147080</v>
      </c>
      <c r="AB48" s="12">
        <v>202877.23</v>
      </c>
      <c r="AC48" s="12">
        <f>13614.36+27+2250.09+150+250+0.23+500+499.68+1000</f>
        <v>18291.36</v>
      </c>
      <c r="AD48" s="12">
        <f>32427.24+2500-2500</f>
        <v>32427.240000000005</v>
      </c>
      <c r="AE48" s="12">
        <v>207896.96000000002</v>
      </c>
      <c r="AF48" s="12">
        <f t="shared" si="23"/>
        <v>240324.2</v>
      </c>
      <c r="AG48" s="12">
        <f t="shared" si="10"/>
        <v>14135.880000000005</v>
      </c>
      <c r="AH48" s="44">
        <f t="shared" si="4"/>
        <v>-1009145.8</v>
      </c>
      <c r="AI48" s="44">
        <f t="shared" si="83"/>
        <v>19.23409125469199</v>
      </c>
      <c r="AJ48" s="12">
        <f t="shared" si="11"/>
        <v>-906755.8</v>
      </c>
      <c r="AK48" s="44">
        <f t="shared" si="18"/>
        <v>20.950953725982497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37446.97</v>
      </c>
      <c r="AO48" s="44">
        <f t="shared" si="13"/>
        <v>118.45794621702987</v>
      </c>
      <c r="AP48" s="12">
        <f t="shared" si="14"/>
        <v>71620.210000000021</v>
      </c>
      <c r="AQ48" s="44">
        <f t="shared" si="35"/>
        <v>142.45318086430558</v>
      </c>
      <c r="AR48" s="12">
        <f t="shared" si="79"/>
        <v>-733933.07000000007</v>
      </c>
      <c r="AS48" s="12">
        <f t="shared" si="80"/>
        <v>24.66742691075839</v>
      </c>
      <c r="AT48" s="34">
        <f>AF48</f>
        <v>240324.2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5"/>
        <v>256536.06</v>
      </c>
      <c r="L49" s="16">
        <v>109317.03</v>
      </c>
      <c r="M49" s="16">
        <f t="shared" si="86"/>
        <v>109317.03</v>
      </c>
      <c r="N49" s="16">
        <v>210726.7</v>
      </c>
      <c r="O49" s="25">
        <f>221100.64+0.02+606.42</f>
        <v>221707.08000000002</v>
      </c>
      <c r="P49" s="16">
        <f t="shared" si="87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9"/>
        <v>278352.34000000003</v>
      </c>
      <c r="V49" s="25">
        <v>41724.25</v>
      </c>
      <c r="W49" s="25"/>
      <c r="X49" s="25"/>
      <c r="Y49" s="16">
        <f>V49</f>
        <v>41724.25</v>
      </c>
      <c r="Z49" s="25">
        <v>336190</v>
      </c>
      <c r="AA49" s="25">
        <v>159900</v>
      </c>
      <c r="AB49" s="25">
        <v>27737</v>
      </c>
      <c r="AC49" s="25">
        <f>2500+1000</f>
        <v>3500</v>
      </c>
      <c r="AD49" s="25">
        <v>4538.6000000000004</v>
      </c>
      <c r="AE49" s="25">
        <v>17237.86</v>
      </c>
      <c r="AF49" s="25">
        <f t="shared" si="23"/>
        <v>21776.46</v>
      </c>
      <c r="AG49" s="16">
        <f t="shared" si="10"/>
        <v>1038.6000000000004</v>
      </c>
      <c r="AH49" s="44">
        <f t="shared" si="4"/>
        <v>-314413.53999999998</v>
      </c>
      <c r="AI49" s="44">
        <f t="shared" si="83"/>
        <v>6.4774264552782652</v>
      </c>
      <c r="AJ49" s="12">
        <f t="shared" si="11"/>
        <v>-138123.54</v>
      </c>
      <c r="AK49" s="42">
        <f t="shared" si="18"/>
        <v>13.618799249530957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-5960.5400000000009</v>
      </c>
      <c r="AO49" s="42">
        <f t="shared" si="13"/>
        <v>78.510509427840063</v>
      </c>
      <c r="AP49" s="13">
        <f t="shared" si="14"/>
        <v>-19947.79</v>
      </c>
      <c r="AQ49" s="42">
        <f t="shared" si="35"/>
        <v>52.191375519032697</v>
      </c>
      <c r="AR49" s="12">
        <f t="shared" si="79"/>
        <v>-87540.57</v>
      </c>
      <c r="AS49" s="12">
        <f t="shared" si="80"/>
        <v>19.920464359487262</v>
      </c>
      <c r="AT49" s="31">
        <f>AF49</f>
        <v>21776.46</v>
      </c>
      <c r="AV49" s="25"/>
    </row>
    <row r="50" spans="1:48" s="10" customFormat="1" ht="36.75" hidden="1" customHeight="1" x14ac:dyDescent="0.3">
      <c r="A50" s="9"/>
      <c r="B50" s="124" t="s">
        <v>7</v>
      </c>
      <c r="C50" s="124"/>
      <c r="D50" s="124"/>
      <c r="E50" s="124"/>
      <c r="F50" s="124"/>
      <c r="G50" s="124"/>
      <c r="H50" s="124"/>
      <c r="I50" s="124"/>
      <c r="J50" s="12">
        <f t="shared" ref="J50:P50" si="90">J51+J53</f>
        <v>1294662.3799999999</v>
      </c>
      <c r="K50" s="12">
        <f t="shared" si="90"/>
        <v>4238232.71</v>
      </c>
      <c r="L50" s="12">
        <f t="shared" si="90"/>
        <v>389278.05</v>
      </c>
      <c r="M50" s="12">
        <f t="shared" si="90"/>
        <v>1409448.1400000001</v>
      </c>
      <c r="N50" s="12">
        <f t="shared" si="90"/>
        <v>2895802</v>
      </c>
      <c r="O50" s="12">
        <f t="shared" si="90"/>
        <v>4075696.4</v>
      </c>
      <c r="P50" s="12">
        <f t="shared" si="90"/>
        <v>4075696.4</v>
      </c>
      <c r="Q50" s="12">
        <v>4075696.4</v>
      </c>
      <c r="R50" s="12">
        <f t="shared" ref="R50" si="91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2">U51+U52+U53</f>
        <v>5495063.3199999994</v>
      </c>
      <c r="V50" s="12">
        <f t="shared" si="92"/>
        <v>2561255.61</v>
      </c>
      <c r="W50" s="12">
        <f t="shared" si="92"/>
        <v>0</v>
      </c>
      <c r="X50" s="12">
        <f t="shared" si="92"/>
        <v>0</v>
      </c>
      <c r="Y50" s="12">
        <f t="shared" si="92"/>
        <v>2561255.61</v>
      </c>
      <c r="Z50" s="12">
        <f t="shared" ref="Z50:AB50" si="93">Z51+Z53</f>
        <v>2715689.65</v>
      </c>
      <c r="AA50" s="12">
        <f t="shared" si="93"/>
        <v>2943570.33</v>
      </c>
      <c r="AB50" s="12">
        <f t="shared" si="93"/>
        <v>2943570.33</v>
      </c>
      <c r="AC50" s="12">
        <f>AC51+AC52+AC53</f>
        <v>99865.16</v>
      </c>
      <c r="AD50" s="12">
        <f>AD51+AD52+AD53</f>
        <v>265000.07</v>
      </c>
      <c r="AE50" s="12">
        <v>828315.45</v>
      </c>
      <c r="AF50" s="12">
        <f>AF51+AF52+AF53</f>
        <v>1093315.52</v>
      </c>
      <c r="AG50" s="12">
        <f t="shared" si="10"/>
        <v>165134.91</v>
      </c>
      <c r="AH50" s="44">
        <f t="shared" si="4"/>
        <v>-1622374.13</v>
      </c>
      <c r="AI50" s="44">
        <f t="shared" si="83"/>
        <v>40.259221814981693</v>
      </c>
      <c r="AJ50" s="12">
        <f t="shared" si="11"/>
        <v>-1850254.81</v>
      </c>
      <c r="AK50" s="44">
        <f t="shared" si="18"/>
        <v>37.142496948595074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-1850254.81</v>
      </c>
      <c r="AO50" s="44">
        <f t="shared" si="13"/>
        <v>37.142496948595074</v>
      </c>
      <c r="AP50" s="12">
        <f t="shared" si="14"/>
        <v>-1467940.0899999999</v>
      </c>
      <c r="AQ50" s="44">
        <f t="shared" si="35"/>
        <v>42.686700840452239</v>
      </c>
      <c r="AR50" s="12">
        <f t="shared" si="79"/>
        <v>-316132.62000000011</v>
      </c>
      <c r="AS50" s="12">
        <f t="shared" si="80"/>
        <v>77.570468112434412</v>
      </c>
      <c r="AT50" s="34">
        <f t="shared" ref="AT50" si="94">AT51+AT53</f>
        <v>4360492.43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79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74410.759999999995</v>
      </c>
      <c r="W51" s="13"/>
      <c r="X51" s="13"/>
      <c r="Y51" s="13">
        <f>V51</f>
        <v>74410.759999999995</v>
      </c>
      <c r="Z51" s="13">
        <v>0</v>
      </c>
      <c r="AA51" s="13">
        <v>0</v>
      </c>
      <c r="AB51" s="13">
        <v>0</v>
      </c>
      <c r="AC51" s="114">
        <f>-17898.68-17101.32</f>
        <v>-35000</v>
      </c>
      <c r="AD51" s="114">
        <v>-59.57</v>
      </c>
      <c r="AE51" s="13">
        <v>4999.9999999998836</v>
      </c>
      <c r="AF51" s="13">
        <f t="shared" si="23"/>
        <v>4940.4299999998839</v>
      </c>
      <c r="AG51" s="16">
        <f t="shared" si="10"/>
        <v>34940.43</v>
      </c>
      <c r="AH51" s="44">
        <f t="shared" si="4"/>
        <v>4940.4299999998839</v>
      </c>
      <c r="AI51" s="44">
        <v>0</v>
      </c>
      <c r="AJ51" s="13">
        <f t="shared" si="11"/>
        <v>4940.4299999998839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4940.4299999998839</v>
      </c>
      <c r="AO51" s="42">
        <v>100</v>
      </c>
      <c r="AP51" s="13">
        <f t="shared" si="14"/>
        <v>-69470.330000000104</v>
      </c>
      <c r="AQ51" s="44">
        <f t="shared" si="35"/>
        <v>6.6394026885357498</v>
      </c>
      <c r="AR51" s="12">
        <f t="shared" si="79"/>
        <v>-384337.62000000011</v>
      </c>
      <c r="AS51" s="12">
        <f t="shared" si="80"/>
        <v>1.2691262710548112</v>
      </c>
      <c r="AT51" s="31">
        <f>AF51</f>
        <v>4940.4299999998839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80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5">T52</f>
        <v>155286.9</v>
      </c>
      <c r="V52" s="13">
        <v>49149.8</v>
      </c>
      <c r="W52" s="13"/>
      <c r="X52" s="13"/>
      <c r="Y52" s="13">
        <f t="shared" ref="Y52:Y53" si="96">V52</f>
        <v>49149.8</v>
      </c>
      <c r="Z52" s="13"/>
      <c r="AA52" s="13">
        <v>0</v>
      </c>
      <c r="AB52" s="13">
        <v>0</v>
      </c>
      <c r="AC52" s="114">
        <f>3200+2700</f>
        <v>5900</v>
      </c>
      <c r="AD52" s="114">
        <f>16300+500</f>
        <v>16800</v>
      </c>
      <c r="AE52" s="13">
        <v>51405</v>
      </c>
      <c r="AF52" s="13">
        <f t="shared" si="23"/>
        <v>68205</v>
      </c>
      <c r="AG52" s="16">
        <f t="shared" si="10"/>
        <v>10900</v>
      </c>
      <c r="AH52" s="44"/>
      <c r="AI52" s="44"/>
      <c r="AJ52" s="13">
        <f t="shared" si="11"/>
        <v>68205</v>
      </c>
      <c r="AK52" s="42">
        <v>100</v>
      </c>
      <c r="AL52" s="13"/>
      <c r="AM52" s="13"/>
      <c r="AN52" s="42">
        <f t="shared" si="12"/>
        <v>68205</v>
      </c>
      <c r="AO52" s="42">
        <v>100</v>
      </c>
      <c r="AP52" s="13">
        <f t="shared" si="14"/>
        <v>19055.199999999997</v>
      </c>
      <c r="AQ52" s="44">
        <f t="shared" si="35"/>
        <v>138.76963894054501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2943570.33</v>
      </c>
      <c r="L53" s="13">
        <v>0</v>
      </c>
      <c r="M53" s="37">
        <f>AF53</f>
        <v>1020170.0900000001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5"/>
        <v>5381046.0499999998</v>
      </c>
      <c r="V53" s="13">
        <v>2437695.0499999998</v>
      </c>
      <c r="W53" s="13"/>
      <c r="X53" s="13"/>
      <c r="Y53" s="13">
        <f t="shared" si="96"/>
        <v>2437695.0499999998</v>
      </c>
      <c r="Z53" s="13">
        <v>2715689.65</v>
      </c>
      <c r="AA53" s="13">
        <v>2943570.33</v>
      </c>
      <c r="AB53" s="13">
        <v>2943570.33</v>
      </c>
      <c r="AC53" s="13">
        <f>115765.16+5000+3200+5000</f>
        <v>128965.16</v>
      </c>
      <c r="AD53" s="13">
        <f>234059.64+10000+4200</f>
        <v>248259.64</v>
      </c>
      <c r="AE53" s="13">
        <v>771910.45000000007</v>
      </c>
      <c r="AF53" s="13">
        <f t="shared" si="23"/>
        <v>1020170.0900000001</v>
      </c>
      <c r="AG53" s="16">
        <f t="shared" si="10"/>
        <v>119294.48000000001</v>
      </c>
      <c r="AH53" s="44">
        <f t="shared" si="4"/>
        <v>-1695519.5599999998</v>
      </c>
      <c r="AI53" s="44">
        <f t="shared" si="83"/>
        <v>37.565783336103962</v>
      </c>
      <c r="AJ53" s="13">
        <f t="shared" si="11"/>
        <v>-1923400.24</v>
      </c>
      <c r="AK53" s="42">
        <f t="shared" si="18"/>
        <v>34.657574837017741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-1923400.24</v>
      </c>
      <c r="AO53" s="42">
        <f t="shared" si="13"/>
        <v>34.657574837017741</v>
      </c>
      <c r="AP53" s="13">
        <f t="shared" si="14"/>
        <v>-1417524.9599999997</v>
      </c>
      <c r="AQ53" s="42">
        <f t="shared" si="35"/>
        <v>41.84978305633431</v>
      </c>
      <c r="AR53" s="12">
        <f t="shared" si="79"/>
        <v>0</v>
      </c>
      <c r="AS53" s="12">
        <f t="shared" si="80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4" t="s">
        <v>1</v>
      </c>
      <c r="C54" s="124"/>
      <c r="D54" s="124"/>
      <c r="E54" s="124"/>
      <c r="F54" s="124"/>
      <c r="G54" s="124"/>
      <c r="H54" s="124"/>
      <c r="I54" s="124"/>
      <c r="J54" s="12">
        <f t="shared" ref="J54:R54" si="97">J55+J56+J57+J58+J59+J61+J62</f>
        <v>1731743649.9200001</v>
      </c>
      <c r="K54" s="12">
        <f t="shared" si="97"/>
        <v>1726065816.5200002</v>
      </c>
      <c r="L54" s="26">
        <f t="shared" si="97"/>
        <v>754564037.68999994</v>
      </c>
      <c r="M54" s="26">
        <f t="shared" si="97"/>
        <v>750829669.28999996</v>
      </c>
      <c r="N54" s="12">
        <f t="shared" si="97"/>
        <v>1949401304.4499998</v>
      </c>
      <c r="O54" s="12">
        <f t="shared" si="97"/>
        <v>1942881158.9100001</v>
      </c>
      <c r="P54" s="12">
        <f t="shared" si="97"/>
        <v>1942881158.9100001</v>
      </c>
      <c r="Q54" s="12">
        <v>1942881158.9100001</v>
      </c>
      <c r="R54" s="12">
        <f t="shared" si="97"/>
        <v>1942881158.9100001</v>
      </c>
      <c r="S54" s="12">
        <f t="shared" ref="S54:T54" si="98">S55+S56+S57+S58+S59+S60+S61+S62</f>
        <v>2058217674.4300001</v>
      </c>
      <c r="T54" s="12">
        <f t="shared" si="98"/>
        <v>2039899297.8500004</v>
      </c>
      <c r="U54" s="12">
        <f t="shared" ref="U54:AB54" si="99">U55+U56+U57+U58+U59+U61+U62</f>
        <v>2039899297.8500004</v>
      </c>
      <c r="V54" s="12">
        <f>V55+V56+V57+V58+V59+V60+V61+V62</f>
        <v>372571843.88999993</v>
      </c>
      <c r="W54" s="12"/>
      <c r="X54" s="12">
        <f t="shared" si="99"/>
        <v>0</v>
      </c>
      <c r="Y54" s="12">
        <f>Y55+Y56+Y57+Y58+Y59+Y60+Y61+Y62</f>
        <v>372571843.88999993</v>
      </c>
      <c r="Z54" s="12">
        <f t="shared" si="99"/>
        <v>1741578685.6100001</v>
      </c>
      <c r="AA54" s="12">
        <f t="shared" si="99"/>
        <v>1652639506.0899999</v>
      </c>
      <c r="AB54" s="12">
        <f t="shared" si="99"/>
        <v>408430269.12</v>
      </c>
      <c r="AC54" s="12">
        <f>AC55+AC56+AC57+AC58+AC59+AC61+AC62</f>
        <v>3043637.08</v>
      </c>
      <c r="AD54" s="12">
        <f>AD55+AD56+AD57+AD58+AD59+AD61+AD62</f>
        <v>70710774.900000006</v>
      </c>
      <c r="AE54" s="12">
        <v>146265184.95000002</v>
      </c>
      <c r="AF54" s="12">
        <f t="shared" ref="AF54" si="100">AF55+AF56+AF57+AF58+AF59+AF61+AF62</f>
        <v>216975959.84999999</v>
      </c>
      <c r="AG54" s="12">
        <f t="shared" si="10"/>
        <v>67667137.820000008</v>
      </c>
      <c r="AH54" s="44">
        <f t="shared" si="4"/>
        <v>-1524602725.7600002</v>
      </c>
      <c r="AI54" s="44">
        <f t="shared" si="83"/>
        <v>12.458579198447335</v>
      </c>
      <c r="AJ54" s="12">
        <f t="shared" si="11"/>
        <v>-1435663546.24</v>
      </c>
      <c r="AK54" s="44">
        <f t="shared" si="18"/>
        <v>13.129055613788761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-191454309.27000001</v>
      </c>
      <c r="AO54" s="44">
        <f t="shared" si="13"/>
        <v>53.124358367829686</v>
      </c>
      <c r="AP54" s="12">
        <f t="shared" si="14"/>
        <v>-155595884.03999993</v>
      </c>
      <c r="AQ54" s="44">
        <f t="shared" si="35"/>
        <v>58.237347617191681</v>
      </c>
      <c r="AR54" s="12">
        <f t="shared" si="79"/>
        <v>-533853709.43999994</v>
      </c>
      <c r="AS54" s="12">
        <f t="shared" si="80"/>
        <v>28.898160092045504</v>
      </c>
      <c r="AT54" s="34" t="e">
        <f t="shared" ref="AT54" si="101">AT55+AT56+AT57+AT58+AT59+AT61+AT62</f>
        <v>#REF!</v>
      </c>
    </row>
    <row r="55" spans="1:48" s="10" customFormat="1" ht="38.25" customHeight="1" x14ac:dyDescent="0.3">
      <c r="A55" s="9"/>
      <c r="B55" s="124" t="s">
        <v>6</v>
      </c>
      <c r="C55" s="124"/>
      <c r="D55" s="124"/>
      <c r="E55" s="124"/>
      <c r="F55" s="124"/>
      <c r="G55" s="124"/>
      <c r="H55" s="124"/>
      <c r="I55" s="124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2">O55</f>
        <v>436509000</v>
      </c>
      <c r="Q55" s="12">
        <v>436509000</v>
      </c>
      <c r="R55" s="12">
        <f t="shared" ref="R55:R62" si="103">Q55</f>
        <v>436509000</v>
      </c>
      <c r="S55" s="12">
        <v>543552380</v>
      </c>
      <c r="T55" s="12">
        <v>543552380</v>
      </c>
      <c r="U55" s="12">
        <f t="shared" ref="U55:U62" si="104">T55</f>
        <v>543552380</v>
      </c>
      <c r="V55" s="12">
        <v>117954229</v>
      </c>
      <c r="W55" s="12"/>
      <c r="X55" s="12"/>
      <c r="Y55" s="12">
        <f t="shared" ref="Y55:Y62" si="105">V55</f>
        <v>117954229</v>
      </c>
      <c r="Z55" s="12">
        <v>543282000</v>
      </c>
      <c r="AA55" s="12">
        <v>504630000</v>
      </c>
      <c r="AB55" s="34">
        <v>126157500</v>
      </c>
      <c r="AC55" s="12">
        <v>0</v>
      </c>
      <c r="AD55" s="12">
        <v>25457332</v>
      </c>
      <c r="AE55" s="12">
        <v>84105000</v>
      </c>
      <c r="AF55" s="12">
        <f t="shared" si="23"/>
        <v>109562332</v>
      </c>
      <c r="AG55" s="12">
        <f t="shared" si="10"/>
        <v>25457332</v>
      </c>
      <c r="AH55" s="44">
        <f t="shared" si="4"/>
        <v>-433719668</v>
      </c>
      <c r="AI55" s="44">
        <f t="shared" si="83"/>
        <v>20.166751705375844</v>
      </c>
      <c r="AJ55" s="12">
        <f t="shared" si="11"/>
        <v>-395067668</v>
      </c>
      <c r="AK55" s="44">
        <f t="shared" si="18"/>
        <v>21.711418663178964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-16595168</v>
      </c>
      <c r="AO55" s="44">
        <f t="shared" si="13"/>
        <v>86.845674652715857</v>
      </c>
      <c r="AP55" s="12">
        <f t="shared" si="14"/>
        <v>-8391897</v>
      </c>
      <c r="AQ55" s="44">
        <f t="shared" si="35"/>
        <v>92.885463224892092</v>
      </c>
      <c r="AR55" s="12">
        <f t="shared" si="79"/>
        <v>-91926668</v>
      </c>
      <c r="AS55" s="12">
        <f t="shared" si="80"/>
        <v>54.376334191940998</v>
      </c>
      <c r="AT55" s="34">
        <v>436509000</v>
      </c>
    </row>
    <row r="56" spans="1:48" s="10" customFormat="1" ht="43.5" customHeight="1" x14ac:dyDescent="0.3">
      <c r="A56" s="9"/>
      <c r="B56" s="124" t="s">
        <v>5</v>
      </c>
      <c r="C56" s="124"/>
      <c r="D56" s="124"/>
      <c r="E56" s="124"/>
      <c r="F56" s="124"/>
      <c r="G56" s="124"/>
      <c r="H56" s="124"/>
      <c r="I56" s="124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2"/>
        <v>266680542.02000001</v>
      </c>
      <c r="Q56" s="12">
        <v>266680542.02000001</v>
      </c>
      <c r="R56" s="12">
        <f t="shared" si="103"/>
        <v>266680542.02000001</v>
      </c>
      <c r="S56" s="12">
        <v>448087921.25</v>
      </c>
      <c r="T56" s="12">
        <v>432403468.83000004</v>
      </c>
      <c r="U56" s="12">
        <f t="shared" si="104"/>
        <v>432403468.83000004</v>
      </c>
      <c r="V56" s="12">
        <v>7163769.0899999999</v>
      </c>
      <c r="W56" s="12"/>
      <c r="X56" s="12"/>
      <c r="Y56" s="12">
        <f t="shared" si="105"/>
        <v>7163769.0899999999</v>
      </c>
      <c r="Z56" s="12">
        <v>164450526.09999999</v>
      </c>
      <c r="AA56" s="12">
        <v>304597569.80000001</v>
      </c>
      <c r="AB56" s="12">
        <v>30191190.68</v>
      </c>
      <c r="AC56" s="12">
        <f>1269095.5</f>
        <v>1269095.5</v>
      </c>
      <c r="AD56" s="12">
        <v>0</v>
      </c>
      <c r="AE56" s="12">
        <v>6559990.0299999993</v>
      </c>
      <c r="AF56" s="12">
        <f t="shared" si="23"/>
        <v>6559990.0299999993</v>
      </c>
      <c r="AG56" s="12">
        <f t="shared" si="10"/>
        <v>-1269095.5</v>
      </c>
      <c r="AH56" s="44">
        <f t="shared" si="4"/>
        <v>-157890536.06999999</v>
      </c>
      <c r="AI56" s="44">
        <f t="shared" si="83"/>
        <v>3.98903559968605</v>
      </c>
      <c r="AJ56" s="12">
        <f t="shared" si="11"/>
        <v>-298037579.77000004</v>
      </c>
      <c r="AK56" s="44">
        <f t="shared" si="18"/>
        <v>2.1536580328947847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-23631200.649999999</v>
      </c>
      <c r="AO56" s="44">
        <f t="shared" si="13"/>
        <v>21.728159381092681</v>
      </c>
      <c r="AP56" s="12">
        <f t="shared" si="14"/>
        <v>-603779.06000000052</v>
      </c>
      <c r="AQ56" s="44">
        <v>0</v>
      </c>
      <c r="AR56" s="12">
        <f t="shared" si="79"/>
        <v>-61692194.069999993</v>
      </c>
      <c r="AS56" s="12">
        <f t="shared" si="80"/>
        <v>9.6113994247987744</v>
      </c>
      <c r="AT56" s="34" t="e">
        <f>#REF!</f>
        <v>#REF!</v>
      </c>
    </row>
    <row r="57" spans="1:48" s="10" customFormat="1" ht="45" customHeight="1" x14ac:dyDescent="0.3">
      <c r="A57" s="9"/>
      <c r="B57" s="124" t="s">
        <v>4</v>
      </c>
      <c r="C57" s="124"/>
      <c r="D57" s="124"/>
      <c r="E57" s="124"/>
      <c r="F57" s="124"/>
      <c r="G57" s="124"/>
      <c r="H57" s="124"/>
      <c r="I57" s="124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2"/>
        <v>1213354064.45</v>
      </c>
      <c r="Q57" s="12">
        <v>1213354064.45</v>
      </c>
      <c r="R57" s="12">
        <f t="shared" si="103"/>
        <v>1213354064.45</v>
      </c>
      <c r="S57" s="12">
        <v>1052485113.04</v>
      </c>
      <c r="T57" s="12">
        <v>1050017221.74</v>
      </c>
      <c r="U57" s="12">
        <f t="shared" si="104"/>
        <v>1050017221.74</v>
      </c>
      <c r="V57" s="12">
        <v>246603872.47</v>
      </c>
      <c r="W57" s="12"/>
      <c r="X57" s="12"/>
      <c r="Y57" s="12">
        <f t="shared" si="105"/>
        <v>246603872.47</v>
      </c>
      <c r="Z57" s="12">
        <v>1032066181.7</v>
      </c>
      <c r="AA57" s="12">
        <v>841614535.71000004</v>
      </c>
      <c r="AB57" s="12">
        <v>251628884.74000001</v>
      </c>
      <c r="AC57" s="12">
        <v>1774541.58</v>
      </c>
      <c r="AD57" s="12">
        <v>45102545</v>
      </c>
      <c r="AE57" s="12">
        <v>112325614.83999999</v>
      </c>
      <c r="AF57" s="12">
        <f t="shared" si="23"/>
        <v>157428159.83999997</v>
      </c>
      <c r="AG57" s="12">
        <f t="shared" si="10"/>
        <v>43328003.420000002</v>
      </c>
      <c r="AH57" s="44">
        <f t="shared" si="4"/>
        <v>-874638021.86000013</v>
      </c>
      <c r="AI57" s="44">
        <f t="shared" si="83"/>
        <v>15.253688438922325</v>
      </c>
      <c r="AJ57" s="12">
        <f t="shared" si="11"/>
        <v>-684186375.87000012</v>
      </c>
      <c r="AK57" s="44">
        <f t="shared" si="18"/>
        <v>18.705494399189643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-94200724.900000036</v>
      </c>
      <c r="AO57" s="44">
        <f t="shared" si="13"/>
        <v>62.563628179119981</v>
      </c>
      <c r="AP57" s="12">
        <f t="shared" si="14"/>
        <v>-89175712.630000025</v>
      </c>
      <c r="AQ57" s="44">
        <f t="shared" si="35"/>
        <v>63.83847839175823</v>
      </c>
      <c r="AR57" s="12">
        <f t="shared" si="79"/>
        <v>-327070522.28000003</v>
      </c>
      <c r="AS57" s="12">
        <f t="shared" si="80"/>
        <v>32.493000631322332</v>
      </c>
      <c r="AT57" s="34" t="e">
        <f>#REF!</f>
        <v>#REF!</v>
      </c>
    </row>
    <row r="58" spans="1:48" s="10" customFormat="1" ht="27" customHeight="1" x14ac:dyDescent="0.3">
      <c r="A58" s="9"/>
      <c r="B58" s="124" t="s">
        <v>3</v>
      </c>
      <c r="C58" s="124"/>
      <c r="D58" s="124"/>
      <c r="E58" s="124"/>
      <c r="F58" s="124"/>
      <c r="G58" s="124"/>
      <c r="H58" s="124"/>
      <c r="I58" s="124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2"/>
        <v>31536396.41</v>
      </c>
      <c r="Q58" s="12">
        <v>31536396.41</v>
      </c>
      <c r="R58" s="12">
        <f t="shared" si="103"/>
        <v>31536396.41</v>
      </c>
      <c r="S58" s="12">
        <v>14687976.27</v>
      </c>
      <c r="T58" s="12">
        <v>14514443.27</v>
      </c>
      <c r="U58" s="12">
        <f t="shared" si="104"/>
        <v>14514443.27</v>
      </c>
      <c r="V58" s="12">
        <v>1421137.09</v>
      </c>
      <c r="W58" s="12"/>
      <c r="X58" s="12"/>
      <c r="Y58" s="12">
        <f t="shared" si="105"/>
        <v>1421137.09</v>
      </c>
      <c r="Z58" s="12">
        <v>1779977.81</v>
      </c>
      <c r="AA58" s="12">
        <v>1797400.58</v>
      </c>
      <c r="AB58" s="12">
        <v>452693.7</v>
      </c>
      <c r="AC58" s="12">
        <v>0</v>
      </c>
      <c r="AD58" s="12">
        <v>150897.9</v>
      </c>
      <c r="AE58" s="12">
        <v>301795.8</v>
      </c>
      <c r="AF58" s="12">
        <f t="shared" si="23"/>
        <v>452693.69999999995</v>
      </c>
      <c r="AG58" s="12">
        <f t="shared" si="10"/>
        <v>150897.9</v>
      </c>
      <c r="AH58" s="44">
        <f t="shared" si="4"/>
        <v>-1327284.1100000001</v>
      </c>
      <c r="AI58" s="44">
        <f t="shared" si="83"/>
        <v>25.432547386644107</v>
      </c>
      <c r="AJ58" s="12">
        <f t="shared" si="11"/>
        <v>-1344706.8800000001</v>
      </c>
      <c r="AK58" s="44">
        <f t="shared" si="18"/>
        <v>25.186021693617121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99.999999999999986</v>
      </c>
      <c r="AP58" s="12">
        <f t="shared" si="14"/>
        <v>-968443.39000000013</v>
      </c>
      <c r="AQ58" s="44">
        <f t="shared" si="35"/>
        <v>31.85433011251574</v>
      </c>
      <c r="AR58" s="12">
        <f t="shared" si="79"/>
        <v>-76706.730000000098</v>
      </c>
      <c r="AS58" s="12">
        <f t="shared" si="80"/>
        <v>85.510640782819152</v>
      </c>
      <c r="AT58" s="34" t="e">
        <f>#REF!</f>
        <v>#REF!</v>
      </c>
    </row>
    <row r="59" spans="1:48" s="10" customFormat="1" ht="39" customHeight="1" x14ac:dyDescent="0.3">
      <c r="A59" s="9"/>
      <c r="B59" s="124" t="s">
        <v>2</v>
      </c>
      <c r="C59" s="124"/>
      <c r="D59" s="124"/>
      <c r="E59" s="124"/>
      <c r="F59" s="124"/>
      <c r="G59" s="124"/>
      <c r="H59" s="124"/>
      <c r="I59" s="124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2"/>
        <v>18244.099999999999</v>
      </c>
      <c r="Q59" s="12">
        <v>18244.099999999999</v>
      </c>
      <c r="R59" s="12">
        <f t="shared" si="103"/>
        <v>18244.099999999999</v>
      </c>
      <c r="S59" s="12">
        <v>102600.69</v>
      </c>
      <c r="T59" s="12">
        <v>110100.69</v>
      </c>
      <c r="U59" s="12">
        <f t="shared" si="104"/>
        <v>110100.69</v>
      </c>
      <c r="V59" s="12">
        <v>29167.59</v>
      </c>
      <c r="W59" s="12"/>
      <c r="X59" s="12"/>
      <c r="Y59" s="12">
        <f t="shared" si="105"/>
        <v>29167.59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-29167.59</v>
      </c>
      <c r="AQ59" s="44">
        <f t="shared" si="35"/>
        <v>0</v>
      </c>
      <c r="AR59" s="12">
        <f t="shared" si="79"/>
        <v>-15145.1</v>
      </c>
      <c r="AS59" s="12">
        <f t="shared" si="80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5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23"/>
        <v>0</v>
      </c>
      <c r="AG60" s="12">
        <f>AD60-AC60</f>
        <v>0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2"/>
        <v>280404</v>
      </c>
      <c r="Q61" s="12">
        <v>280404</v>
      </c>
      <c r="R61" s="12">
        <f t="shared" si="103"/>
        <v>280404</v>
      </c>
      <c r="S61" s="12">
        <v>0</v>
      </c>
      <c r="T61" s="12">
        <v>0.13999999999941792</v>
      </c>
      <c r="U61" s="12">
        <f t="shared" si="104"/>
        <v>0.13999999999941792</v>
      </c>
      <c r="V61" s="12">
        <v>0.14000000000000001</v>
      </c>
      <c r="W61" s="12"/>
      <c r="X61" s="12"/>
      <c r="Y61" s="12">
        <f t="shared" si="105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4" t="s">
        <v>0</v>
      </c>
      <c r="C62" s="124"/>
      <c r="D62" s="124"/>
      <c r="E62" s="124"/>
      <c r="F62" s="124"/>
      <c r="G62" s="124"/>
      <c r="H62" s="124"/>
      <c r="I62" s="124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2"/>
        <v>-5497492.0700000003</v>
      </c>
      <c r="Q62" s="12">
        <v>-5497492.0700000003</v>
      </c>
      <c r="R62" s="12">
        <f t="shared" si="103"/>
        <v>-5497492.0700000003</v>
      </c>
      <c r="S62" s="12">
        <v>-698316.82</v>
      </c>
      <c r="T62" s="12">
        <v>-698316.82000000018</v>
      </c>
      <c r="U62" s="12">
        <f t="shared" si="104"/>
        <v>-698316.82000000018</v>
      </c>
      <c r="V62" s="12">
        <v>-600331.49</v>
      </c>
      <c r="W62" s="12"/>
      <c r="X62" s="12"/>
      <c r="Y62" s="12">
        <f t="shared" si="105"/>
        <v>-600331.49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-57027215.719999999</v>
      </c>
      <c r="AF62" s="12">
        <f t="shared" si="23"/>
        <v>-57027215.719999999</v>
      </c>
      <c r="AG62" s="12">
        <f t="shared" si="10"/>
        <v>0</v>
      </c>
      <c r="AH62" s="44">
        <f t="shared" si="4"/>
        <v>-57027215.719999999</v>
      </c>
      <c r="AI62" s="44">
        <v>0</v>
      </c>
      <c r="AJ62" s="12">
        <f t="shared" si="11"/>
        <v>-57027215.719999999</v>
      </c>
      <c r="AK62" s="44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-57027215.719999999</v>
      </c>
      <c r="AO62" s="44">
        <v>0</v>
      </c>
      <c r="AP62" s="12">
        <f t="shared" si="14"/>
        <v>-56426884.229999997</v>
      </c>
      <c r="AQ62" s="44">
        <f t="shared" si="35"/>
        <v>9499.287755170064</v>
      </c>
      <c r="AR62" s="12">
        <f>AF62-M62</f>
        <v>-53072473.259999998</v>
      </c>
      <c r="AS62" s="12">
        <f>IF(M62=0,0,AF62/M62*100)</f>
        <v>1441.995687375304</v>
      </c>
      <c r="AT62" s="34">
        <f>AF62</f>
        <v>-57027215.719999999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6">J54+J7</f>
        <v>2092393430.8699999</v>
      </c>
      <c r="K63" s="13">
        <f t="shared" si="106"/>
        <v>2071113089.6151345</v>
      </c>
      <c r="L63" s="28">
        <f t="shared" si="106"/>
        <v>881017080.54999995</v>
      </c>
      <c r="M63" s="26">
        <f t="shared" si="106"/>
        <v>870827410.30554318</v>
      </c>
      <c r="N63" s="12">
        <f t="shared" si="106"/>
        <v>2309803775.2699995</v>
      </c>
      <c r="O63" s="12">
        <f t="shared" si="106"/>
        <v>2328450949.6999998</v>
      </c>
      <c r="P63" s="12">
        <f t="shared" si="106"/>
        <v>2327457942.815587</v>
      </c>
      <c r="Q63" s="12">
        <f t="shared" si="106"/>
        <v>2328450949.6999998</v>
      </c>
      <c r="R63" s="12">
        <f t="shared" si="106"/>
        <v>2324234116.085587</v>
      </c>
      <c r="S63" s="12">
        <f t="shared" si="106"/>
        <v>2468054121.4099998</v>
      </c>
      <c r="T63" s="12">
        <f t="shared" si="106"/>
        <v>2473502940.9500003</v>
      </c>
      <c r="U63" s="12">
        <f t="shared" si="106"/>
        <v>2610269494.995842</v>
      </c>
      <c r="V63" s="12">
        <f t="shared" si="106"/>
        <v>418280335.49999994</v>
      </c>
      <c r="W63" s="12"/>
      <c r="X63" s="12">
        <f t="shared" ref="X63:AF63" si="107">X54+X7</f>
        <v>0</v>
      </c>
      <c r="Y63" s="12">
        <f t="shared" si="107"/>
        <v>432373400.84423357</v>
      </c>
      <c r="Z63" s="12">
        <f t="shared" si="107"/>
        <v>2141993785.2600002</v>
      </c>
      <c r="AA63" s="12">
        <f t="shared" si="107"/>
        <v>2230214141.9299998</v>
      </c>
      <c r="AB63" s="12">
        <f t="shared" si="107"/>
        <v>534810321.93000001</v>
      </c>
      <c r="AC63" s="12">
        <f t="shared" si="107"/>
        <v>38471511.129999995</v>
      </c>
      <c r="AD63" s="12">
        <f t="shared" si="107"/>
        <v>76779124.870000005</v>
      </c>
      <c r="AE63" s="12">
        <f t="shared" si="107"/>
        <v>221688156.16000003</v>
      </c>
      <c r="AF63" s="12">
        <f t="shared" si="107"/>
        <v>298467281.02999997</v>
      </c>
      <c r="AG63" s="12">
        <f t="shared" si="10"/>
        <v>38307613.74000001</v>
      </c>
      <c r="AH63" s="12">
        <f t="shared" si="4"/>
        <v>-1843526504.2300003</v>
      </c>
      <c r="AI63" s="12">
        <f>AF63/Z63*100</f>
        <v>13.934087161404687</v>
      </c>
      <c r="AJ63" s="12">
        <f>AF63-AA63</f>
        <v>-1931746860.8999999</v>
      </c>
      <c r="AK63" s="12">
        <f t="shared" si="18"/>
        <v>13.382897875973025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-236343040.90000004</v>
      </c>
      <c r="AO63" s="12">
        <f t="shared" si="13"/>
        <v>55.808062932088589</v>
      </c>
      <c r="AP63" s="12">
        <f t="shared" si="14"/>
        <v>-133906119.8142336</v>
      </c>
      <c r="AQ63" s="12">
        <f t="shared" si="35"/>
        <v>69.029982058846741</v>
      </c>
      <c r="AR63" s="12">
        <f>AF63-M63</f>
        <v>-572360129.27554321</v>
      </c>
      <c r="AS63" s="12">
        <f>IF(M63=0,0,AF63/M63*100)</f>
        <v>34.273987876114063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74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432373400.84423363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221688156.16000003</v>
      </c>
      <c r="AF65" s="110">
        <v>1229277981.27</v>
      </c>
      <c r="AG65" s="95"/>
      <c r="AJ65" s="89"/>
      <c r="AK65" s="142"/>
      <c r="AL65" s="142"/>
      <c r="AM65" s="142"/>
      <c r="AN65" s="142"/>
      <c r="AO65" s="142"/>
      <c r="AP65" s="142"/>
    </row>
    <row r="66" spans="1:44" s="78" customFormat="1" ht="18" customHeight="1" x14ac:dyDescent="0.3">
      <c r="I66" s="78" t="s">
        <v>77</v>
      </c>
      <c r="O66" s="78" t="s">
        <v>40</v>
      </c>
      <c r="Q66" s="88"/>
      <c r="V66" s="88">
        <f>V63-V10+Y10</f>
        <v>432373400.84423363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</mergeCells>
  <pageMargins left="0.39370078740157483" right="0.39370078740157483" top="0.78740157480314965" bottom="0.39370078740157483" header="0.39370078740157483" footer="0.39370078740157483"/>
  <pageSetup paperSize="9" scale="48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2024-03-07T10:58:18Z</cp:lastPrinted>
  <dcterms:created xsi:type="dcterms:W3CDTF">2018-12-30T09:36:16Z</dcterms:created>
  <dcterms:modified xsi:type="dcterms:W3CDTF">2024-03-07T11:21:57Z</dcterms:modified>
</cp:coreProperties>
</file>